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8075" windowHeight="10740" tabRatio="781"/>
  </bookViews>
  <sheets>
    <sheet name="Přehled" sheetId="10" r:id="rId1"/>
    <sheet name="expoziční skříň" sheetId="4" r:id="rId2"/>
    <sheet name="stoly-hlavní sál" sheetId="1" r:id="rId3"/>
    <sheet name="podium" sheetId="5" r:id="rId4"/>
    <sheet name="regal knihovna" sheetId="7" r:id="rId5"/>
    <sheet name="stůl studovna" sheetId="8" r:id="rId6"/>
    <sheet name="skříň projekce" sheetId="9" r:id="rId7"/>
    <sheet name="lavice u dveri" sheetId="11" r:id="rId8"/>
    <sheet name="lavice u oken" sheetId="14" r:id="rId9"/>
    <sheet name="bima" sheetId="12" r:id="rId10"/>
    <sheet name="info stůl" sheetId="16" r:id="rId11"/>
    <sheet name="oltář-skříň" sheetId="13" r:id="rId12"/>
    <sheet name="výstavní system" sheetId="18" r:id="rId13"/>
    <sheet name="zazemi stul" sheetId="20" r:id="rId14"/>
    <sheet name="zazemí regal" sheetId="21" r:id="rId15"/>
  </sheets>
  <calcPr calcId="114210"/>
</workbook>
</file>

<file path=xl/calcChain.xml><?xml version="1.0" encoding="utf-8"?>
<calcChain xmlns="http://schemas.openxmlformats.org/spreadsheetml/2006/main">
  <c r="F8" i="10"/>
  <c r="F23"/>
  <c r="F33"/>
  <c r="F36"/>
  <c r="G8"/>
  <c r="G23"/>
  <c r="G33"/>
  <c r="G36"/>
  <c r="H36"/>
  <c r="F6"/>
  <c r="G6"/>
  <c r="H6"/>
  <c r="F7"/>
  <c r="G7"/>
  <c r="H7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F16"/>
  <c r="G16"/>
  <c r="H16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H33"/>
  <c r="F34"/>
  <c r="G34"/>
  <c r="H34"/>
  <c r="F5"/>
  <c r="G5"/>
  <c r="H5"/>
  <c r="H29" i="20"/>
  <c r="H33" i="16"/>
  <c r="H34" i="4"/>
  <c r="H32"/>
  <c r="H33"/>
  <c r="H29" i="13"/>
  <c r="H27"/>
  <c r="H18" i="21"/>
  <c r="H17"/>
  <c r="H16"/>
  <c r="H15"/>
  <c r="H14"/>
  <c r="H13"/>
  <c r="H12"/>
  <c r="E12"/>
  <c r="F11"/>
  <c r="H11"/>
  <c r="H10"/>
  <c r="F10"/>
  <c r="F9"/>
  <c r="H9"/>
  <c r="F8"/>
  <c r="H8"/>
  <c r="F7"/>
  <c r="H7"/>
  <c r="H6"/>
  <c r="F6"/>
  <c r="H28" i="20"/>
  <c r="H27"/>
  <c r="H26"/>
  <c r="H25"/>
  <c r="H24"/>
  <c r="H23"/>
  <c r="H22"/>
  <c r="H21"/>
  <c r="H20"/>
  <c r="H19"/>
  <c r="H18"/>
  <c r="F18"/>
  <c r="H17"/>
  <c r="F17"/>
  <c r="H16"/>
  <c r="F16"/>
  <c r="H15"/>
  <c r="F15"/>
  <c r="H13"/>
  <c r="F13"/>
  <c r="H12"/>
  <c r="F12"/>
  <c r="H11"/>
  <c r="F11"/>
  <c r="H10"/>
  <c r="F10"/>
  <c r="H9"/>
  <c r="F9"/>
  <c r="H8"/>
  <c r="F8"/>
  <c r="H7"/>
  <c r="F7"/>
  <c r="H22" i="1"/>
  <c r="F12" i="18"/>
  <c r="F7"/>
  <c r="F8"/>
  <c r="F9"/>
  <c r="F10"/>
  <c r="F11"/>
  <c r="F6"/>
  <c r="H18" i="13"/>
  <c r="H19"/>
  <c r="H20"/>
  <c r="H21"/>
  <c r="H22"/>
  <c r="H23"/>
  <c r="H8"/>
  <c r="H7"/>
  <c r="H10"/>
  <c r="H11"/>
  <c r="H12"/>
  <c r="H13"/>
  <c r="H14"/>
  <c r="H9"/>
  <c r="H15"/>
  <c r="H16"/>
  <c r="H6"/>
  <c r="F15"/>
  <c r="H17"/>
  <c r="F16"/>
  <c r="E14"/>
  <c r="E13"/>
  <c r="E12"/>
  <c r="E10"/>
  <c r="E11"/>
  <c r="F9"/>
  <c r="E8"/>
  <c r="E7"/>
  <c r="F6"/>
  <c r="H20" i="16"/>
  <c r="H21"/>
  <c r="H22"/>
  <c r="H23"/>
  <c r="H24"/>
  <c r="H25"/>
  <c r="H26"/>
  <c r="H27"/>
  <c r="H28"/>
  <c r="H18"/>
  <c r="H19"/>
  <c r="H15"/>
  <c r="H16"/>
  <c r="H17"/>
  <c r="F18"/>
  <c r="F17"/>
  <c r="F16"/>
  <c r="F15"/>
  <c r="H8"/>
  <c r="H9"/>
  <c r="H10"/>
  <c r="H11"/>
  <c r="H12"/>
  <c r="H13"/>
  <c r="H7"/>
  <c r="F13"/>
  <c r="F12"/>
  <c r="F11"/>
  <c r="F10"/>
  <c r="F8"/>
  <c r="F9"/>
  <c r="F7"/>
  <c r="H15" i="12"/>
  <c r="H11"/>
  <c r="H9"/>
  <c r="H7"/>
  <c r="H8"/>
  <c r="H10"/>
  <c r="H6"/>
  <c r="F10"/>
  <c r="E9"/>
  <c r="F8"/>
  <c r="F7"/>
  <c r="F6"/>
  <c r="H19" i="14"/>
  <c r="H15"/>
  <c r="E14"/>
  <c r="H14"/>
  <c r="F13"/>
  <c r="H13"/>
  <c r="H12"/>
  <c r="E12"/>
  <c r="F11"/>
  <c r="H11"/>
  <c r="H10"/>
  <c r="F10"/>
  <c r="F9"/>
  <c r="H9"/>
  <c r="E8"/>
  <c r="H8"/>
  <c r="F7"/>
  <c r="H7"/>
  <c r="F6"/>
  <c r="H6"/>
  <c r="H20" i="11"/>
  <c r="H15"/>
  <c r="H14"/>
  <c r="H12"/>
  <c r="H8"/>
  <c r="H7"/>
  <c r="H9"/>
  <c r="H10"/>
  <c r="H11"/>
  <c r="H13"/>
  <c r="H6"/>
  <c r="E14"/>
  <c r="F13"/>
  <c r="E12"/>
  <c r="F11"/>
  <c r="F10"/>
  <c r="F9"/>
  <c r="E8"/>
  <c r="F7"/>
  <c r="F6"/>
  <c r="H33" i="9"/>
  <c r="H19"/>
  <c r="H20"/>
  <c r="H21"/>
  <c r="H22"/>
  <c r="H23"/>
  <c r="H24"/>
  <c r="H25"/>
  <c r="H26"/>
  <c r="H27"/>
  <c r="H28"/>
  <c r="H29"/>
  <c r="H18"/>
  <c r="H17"/>
  <c r="H7"/>
  <c r="H8"/>
  <c r="H9"/>
  <c r="H10"/>
  <c r="H11"/>
  <c r="H12"/>
  <c r="H13"/>
  <c r="H14"/>
  <c r="H15"/>
  <c r="H16"/>
  <c r="H6"/>
  <c r="E17"/>
  <c r="F16"/>
  <c r="F15"/>
  <c r="F14"/>
  <c r="F13"/>
  <c r="F12"/>
  <c r="F11"/>
  <c r="F10"/>
  <c r="F9"/>
  <c r="F8"/>
  <c r="F7"/>
  <c r="F6"/>
  <c r="H15" i="8"/>
  <c r="H11"/>
  <c r="H10"/>
  <c r="H7"/>
  <c r="H8"/>
  <c r="H9"/>
  <c r="H6"/>
  <c r="F8"/>
  <c r="F7"/>
  <c r="F6"/>
  <c r="F9"/>
  <c r="E10"/>
  <c r="H22" i="7"/>
  <c r="H12"/>
  <c r="H11"/>
  <c r="E12"/>
  <c r="F11"/>
  <c r="F10"/>
  <c r="H10"/>
  <c r="F9"/>
  <c r="H7"/>
  <c r="H8"/>
  <c r="H9"/>
  <c r="F8"/>
  <c r="F7"/>
  <c r="H6"/>
  <c r="F6"/>
  <c r="H15"/>
  <c r="H16"/>
  <c r="H17"/>
  <c r="H18"/>
  <c r="H14"/>
  <c r="H13"/>
  <c r="H18" i="5"/>
  <c r="H14"/>
  <c r="H13"/>
  <c r="H12"/>
  <c r="H11"/>
  <c r="H8"/>
  <c r="H9"/>
  <c r="H10"/>
  <c r="E12"/>
  <c r="E11"/>
  <c r="F10"/>
  <c r="F9"/>
  <c r="F8"/>
  <c r="H7"/>
  <c r="H12" i="1"/>
  <c r="H28"/>
  <c r="E19"/>
  <c r="E18"/>
  <c r="H18"/>
  <c r="E17"/>
  <c r="H17"/>
  <c r="H21"/>
  <c r="H23"/>
  <c r="H24"/>
  <c r="H20"/>
  <c r="H19"/>
  <c r="E8"/>
  <c r="H8"/>
  <c r="F7"/>
  <c r="H7"/>
  <c r="H10"/>
  <c r="H11"/>
  <c r="E36" i="4"/>
  <c r="H36"/>
  <c r="F39"/>
  <c r="H39"/>
  <c r="F38"/>
  <c r="H38"/>
  <c r="F37"/>
  <c r="H37"/>
  <c r="E35"/>
  <c r="H35"/>
  <c r="H40"/>
  <c r="H44"/>
  <c r="H45"/>
  <c r="H46"/>
  <c r="H47"/>
  <c r="H48"/>
  <c r="H30"/>
  <c r="H31"/>
  <c r="H23"/>
  <c r="H24"/>
  <c r="H25"/>
  <c r="H26"/>
  <c r="H27"/>
  <c r="H28"/>
  <c r="H29"/>
  <c r="H22"/>
  <c r="H52"/>
  <c r="F21"/>
  <c r="H21"/>
  <c r="F20"/>
  <c r="H20"/>
  <c r="F19"/>
  <c r="H19"/>
  <c r="F18"/>
  <c r="H18"/>
  <c r="F17"/>
  <c r="H17"/>
  <c r="F16"/>
  <c r="H16"/>
  <c r="F13"/>
  <c r="H13"/>
  <c r="E15"/>
  <c r="H15"/>
  <c r="E14"/>
  <c r="H14"/>
  <c r="F10"/>
  <c r="H10"/>
  <c r="E11"/>
  <c r="H11"/>
  <c r="E12"/>
  <c r="H12"/>
  <c r="F9"/>
  <c r="H9"/>
  <c r="E8"/>
  <c r="H8"/>
  <c r="F7"/>
  <c r="H7"/>
  <c r="E6"/>
  <c r="H6"/>
  <c r="F15" i="18"/>
  <c r="H25" i="13"/>
  <c r="H26"/>
  <c r="H31"/>
  <c r="H13" i="12"/>
  <c r="H14"/>
  <c r="H17"/>
  <c r="H18" i="11"/>
  <c r="H19"/>
  <c r="H22"/>
  <c r="H13" i="8"/>
  <c r="H14"/>
  <c r="H17"/>
  <c r="H20" i="7"/>
  <c r="H21"/>
  <c r="H24"/>
  <c r="H16" i="5"/>
  <c r="H17"/>
  <c r="H20"/>
  <c r="H14" i="1"/>
  <c r="H26"/>
  <c r="H27"/>
  <c r="H30"/>
  <c r="H20" i="21"/>
  <c r="H21"/>
  <c r="H23"/>
  <c r="H31" i="20"/>
  <c r="H32"/>
  <c r="H34"/>
  <c r="H31" i="16"/>
  <c r="H32"/>
  <c r="H35"/>
  <c r="H17" i="14"/>
  <c r="H18"/>
  <c r="H21"/>
  <c r="H31" i="9"/>
  <c r="H32"/>
  <c r="H35"/>
  <c r="H50" i="4"/>
  <c r="H51"/>
  <c r="H54"/>
</calcChain>
</file>

<file path=xl/sharedStrings.xml><?xml version="1.0" encoding="utf-8"?>
<sst xmlns="http://schemas.openxmlformats.org/spreadsheetml/2006/main" count="970" uniqueCount="315">
  <si>
    <t>celkem</t>
  </si>
  <si>
    <t>co - popis</t>
  </si>
  <si>
    <t>povrchová úprava</t>
  </si>
  <si>
    <t>materiál</t>
  </si>
  <si>
    <t>mosaz</t>
  </si>
  <si>
    <t>dub</t>
  </si>
  <si>
    <t>čiré</t>
  </si>
  <si>
    <t>bezbarvý matný lak, 2 - 3 x nátěr</t>
  </si>
  <si>
    <t>plast</t>
  </si>
  <si>
    <t>korpus:</t>
  </si>
  <si>
    <t>matné</t>
  </si>
  <si>
    <t>osvětlení vitríny:</t>
  </si>
  <si>
    <t>barva Snow, propustnost světla TL ( translucentní) 67%</t>
  </si>
  <si>
    <t>výstavní systém vitrína:</t>
  </si>
  <si>
    <t>zásuvky:</t>
  </si>
  <si>
    <t>stolová deska:</t>
  </si>
  <si>
    <t>kozy:</t>
  </si>
  <si>
    <t>zástrč - atyp dle výkresu</t>
  </si>
  <si>
    <t>úchyt police otočný jednostranný pro lanko 1,5 - 2 mm</t>
  </si>
  <si>
    <t>pódium</t>
  </si>
  <si>
    <t>plstěný kluzák, kulatý samolepící, bílý d 17 mm, výška 4,5 mm</t>
  </si>
  <si>
    <t>rozeta</t>
  </si>
  <si>
    <t>expoziční skříň</t>
  </si>
  <si>
    <t>1a/1.02</t>
  </si>
  <si>
    <t>3d, 3e/1.02</t>
  </si>
  <si>
    <t>1c/1.02</t>
  </si>
  <si>
    <t>1f/1.03</t>
  </si>
  <si>
    <t>stůl info</t>
  </si>
  <si>
    <t>regál knihovna</t>
  </si>
  <si>
    <t>1g/1.04</t>
  </si>
  <si>
    <t>1h/1.04</t>
  </si>
  <si>
    <t>stůl studovna</t>
  </si>
  <si>
    <t>1i/1.05</t>
  </si>
  <si>
    <t xml:space="preserve">expoziční skříň </t>
  </si>
  <si>
    <t>NÁBYTEK</t>
  </si>
  <si>
    <t>kód</t>
  </si>
  <si>
    <t>místnost</t>
  </si>
  <si>
    <t>název</t>
  </si>
  <si>
    <t>počet</t>
  </si>
  <si>
    <t>HLAVNÍ SÁL</t>
  </si>
  <si>
    <t>1.02</t>
  </si>
  <si>
    <t>1a</t>
  </si>
  <si>
    <t>1b</t>
  </si>
  <si>
    <t>1c</t>
  </si>
  <si>
    <t>1d</t>
  </si>
  <si>
    <t>MODLITEBNA</t>
  </si>
  <si>
    <t>2.03</t>
  </si>
  <si>
    <t>1e</t>
  </si>
  <si>
    <t>1f</t>
  </si>
  <si>
    <t>lavice u dveří (vyhřívaná)</t>
  </si>
  <si>
    <t>1g</t>
  </si>
  <si>
    <t>lavice u oken</t>
  </si>
  <si>
    <t>INFO</t>
  </si>
  <si>
    <t>1.03</t>
  </si>
  <si>
    <t>židle-zázemí</t>
  </si>
  <si>
    <t>STUDOVNA</t>
  </si>
  <si>
    <t>1.04</t>
  </si>
  <si>
    <t>1h</t>
  </si>
  <si>
    <t>PROJEKČNÍ SÁL</t>
  </si>
  <si>
    <t>1.05</t>
  </si>
  <si>
    <t>1i</t>
  </si>
  <si>
    <t>2.00</t>
  </si>
  <si>
    <t>DOPLŇKY</t>
  </si>
  <si>
    <t>3a</t>
  </si>
  <si>
    <t>2.00, 1.03, 2.02</t>
  </si>
  <si>
    <t>závěsný výstavní systém</t>
  </si>
  <si>
    <t>3b</t>
  </si>
  <si>
    <t>výstavní stojany</t>
  </si>
  <si>
    <t>3d</t>
  </si>
  <si>
    <t>desky na stoly do sálu</t>
  </si>
  <si>
    <t>3e</t>
  </si>
  <si>
    <t>kozy na stoly do sálu</t>
  </si>
  <si>
    <t>lavice u dveří- modlitebna</t>
  </si>
  <si>
    <t>1f/2.03</t>
  </si>
  <si>
    <t>lavice u oken- modlitebna</t>
  </si>
  <si>
    <t>1g/2.03</t>
  </si>
  <si>
    <t>bima - modlitebna</t>
  </si>
  <si>
    <t>1e/2.03</t>
  </si>
  <si>
    <t>1b/1.02</t>
  </si>
  <si>
    <t>skříň - oltář hlavního sálu</t>
  </si>
  <si>
    <t>skříň se stolkem - projekční místnost</t>
  </si>
  <si>
    <t>skříň se stolkem</t>
  </si>
  <si>
    <t>přírodní dýha - dub</t>
  </si>
  <si>
    <t>poznámka</t>
  </si>
  <si>
    <t xml:space="preserve">úchytka se závitem d 1 cm, l 4cm </t>
  </si>
  <si>
    <t>leštěná mosaz</t>
  </si>
  <si>
    <t>hmoždinka do zdi</t>
  </si>
  <si>
    <t>plsť</t>
  </si>
  <si>
    <t>buk</t>
  </si>
  <si>
    <t>dorovnávací trám  80 x 101x 1120 mm</t>
  </si>
  <si>
    <t>nábytkový závěs rovný pro vložené dveře , levý, l 80 mm</t>
  </si>
  <si>
    <t>nábytkový závěs rovný pro vložené dveře , pravý, l 80 mm</t>
  </si>
  <si>
    <t>dorovnávací trám 21 x 80 x 1120 mm</t>
  </si>
  <si>
    <t>vrut do dřeva</t>
  </si>
  <si>
    <t>krytka hněda d vrtání 8 mm, béžová</t>
  </si>
  <si>
    <t>vodítko tyče</t>
  </si>
  <si>
    <t>info stůl</t>
  </si>
  <si>
    <t>výměnná vložka</t>
  </si>
  <si>
    <t>ocel</t>
  </si>
  <si>
    <t>tyč, 60 mm</t>
  </si>
  <si>
    <t>pomosazená</t>
  </si>
  <si>
    <t>pomosazen</t>
  </si>
  <si>
    <t>nikl (mosaz)</t>
  </si>
  <si>
    <t xml:space="preserve">kolík k tyči vč. držáku, </t>
  </si>
  <si>
    <t>černý</t>
  </si>
  <si>
    <t>qnikl(ocel)</t>
  </si>
  <si>
    <t>zámek kontejnerový centrální, pravý celokovový :</t>
  </si>
  <si>
    <t>černý plast</t>
  </si>
  <si>
    <t>spojka pro dřevěné zásuvky (sada)</t>
  </si>
  <si>
    <t>(sada)plnovýsuv pro dřevěné zásuvky s drážkovým bokem, silent system, délka zásuvky 600 mm ( nosnost 30 kg)</t>
  </si>
  <si>
    <t>plstěná podložka samolepící</t>
  </si>
  <si>
    <t>plsť hnědá</t>
  </si>
  <si>
    <t>hnědá plsť</t>
  </si>
  <si>
    <t>nábytkový závěs rovný pro naložené dveře, pravý, l 80 mm</t>
  </si>
  <si>
    <t>nábytkový závěs rovný pro naložené dveře, levý l 80 mm</t>
  </si>
  <si>
    <t>nábytkový závěs rovný pro vložené dveře, levý l 80 mm</t>
  </si>
  <si>
    <t>nábytkový závěs rovný pro vložené dveře, pravý l 80 mm</t>
  </si>
  <si>
    <t>stolový závěs k zapuštění</t>
  </si>
  <si>
    <t>lžičková podpěrka police s pouzdrem</t>
  </si>
  <si>
    <t>spojovací šroub VHS 32, závitové pouzdro 35 mm, šroub M4 x 15 mm</t>
  </si>
  <si>
    <t>krytka hnědá d vrtání 8 mm, béžová</t>
  </si>
  <si>
    <t>sada kování pro výklopná víka, ( pravý a levý pant)</t>
  </si>
  <si>
    <t>plastová podložka</t>
  </si>
  <si>
    <t>nábytkový závěs 300 pravý rovný, upevněno vruty hlava 3 DIN 97, délka závěsu 60 mm</t>
  </si>
  <si>
    <t>nábytkový závěs 300 levý rovný, upevněno vruty hlava 3 DIN 97, délka závěsu 60 mm</t>
  </si>
  <si>
    <t xml:space="preserve">převlečná matka </t>
  </si>
  <si>
    <t>horní ukončení lanka</t>
  </si>
  <si>
    <t>pomosazený</t>
  </si>
  <si>
    <t>(pomosazená)</t>
  </si>
  <si>
    <t>(sada pravý a levý) plnovýsuv pro dřevěné zásuvky s drážkovým bokem, silent system, délka zásuvky 400 mm</t>
  </si>
  <si>
    <t>podpěrka skleněné police s návlekem</t>
  </si>
  <si>
    <t xml:space="preserve">vrutošroub, uchycení do dřeva </t>
  </si>
  <si>
    <t xml:space="preserve">vrutošroub, uchycení do zdi </t>
  </si>
  <si>
    <t>kovová zarážka na zástrč, přilepená na zem</t>
  </si>
  <si>
    <t>závěs pro skleněné dveře, pravý</t>
  </si>
  <si>
    <t>závěs pro skleněné dveře, levý</t>
  </si>
  <si>
    <t>dvířka antireflexní sklo, 5 mm, 858 x 2118 mm</t>
  </si>
  <si>
    <t>police, antireflexní sklo, 5 mm, 1762 x 350 mm</t>
  </si>
  <si>
    <t>masiv, tl.19mm, 1716 x 148mm, vydlabaná úchytka</t>
  </si>
  <si>
    <t>zpevnění zásuvek ,masiv,  tl. 12 mm, 15 x 388 mm</t>
  </si>
  <si>
    <t>záda zásuvky, PDP,tl.12mm, 1680 x 120 mm</t>
  </si>
  <si>
    <t>bok zásuvky, PDP, tl.12 mm, 400 x 120mm</t>
  </si>
  <si>
    <t>dno zásuvky, PDP, tl.5 mm, 393 x 1690 mm</t>
  </si>
  <si>
    <t>sokl bok DTD 19 mm, 500 x 260 mm</t>
  </si>
  <si>
    <t>sokl záda/čelo DTD 19 mm, 1720 x 260 mm</t>
  </si>
  <si>
    <t>dveře, DTD 19 mm, 2676 x 777 mm</t>
  </si>
  <si>
    <t>korpus - bok, DTD 19 mm, 2760 x 420 mm</t>
  </si>
  <si>
    <t>mezistěna, Masiv nákližek, 40 x 19 mm, 1722mm</t>
  </si>
  <si>
    <t>půda / dno, Masiv nákližek, 40 x 40 mm, l 1722mm</t>
  </si>
  <si>
    <t>korpus - bok, Masiv nákližek, 40 x 40 mm, l 420mm</t>
  </si>
  <si>
    <t>korpus - bok, Masiv nákližek, 40 x 40 mm, l 2840mm</t>
  </si>
  <si>
    <t>dveře , Masiv nákližek, 40 x 25 mm, l 777mm</t>
  </si>
  <si>
    <t>dveře , Masiv nákližek, 40 x 25 mm, l 2756mm</t>
  </si>
  <si>
    <t>mezistěna/ dno, DTD 19 mm, 1722 x 420 mm</t>
  </si>
  <si>
    <t>DTD 19 mm, 1800 x 800 mm</t>
  </si>
  <si>
    <t>celkový počet</t>
  </si>
  <si>
    <t>8x stolová deska, 16 x kozy</t>
  </si>
  <si>
    <t>víko , spárovka, DB tl. 20mm, 1000 x 2000 mm</t>
  </si>
  <si>
    <t xml:space="preserve"> dno, DTD 19 mm, 1962 x 962 mm</t>
  </si>
  <si>
    <t>korpus - bok, DTD 19 mm, DB nákližek tl. 5 mm, 2000 x 350 mm</t>
  </si>
  <si>
    <t>korpus - bok, DTD 19 mm, DB nákližek tl. 5 mm, 962 x 350 mm</t>
  </si>
  <si>
    <t>noha , Masiv , 40 x 40 mm x 70 mm</t>
  </si>
  <si>
    <t>výztuha podia, Masiv , 80 x 20mm x 962 mm</t>
  </si>
  <si>
    <t>záda regálu , PDP, tl.5 mm, 1276 x 2476 mm</t>
  </si>
  <si>
    <t>výztuha zad, Masiv ,40 x 20mm x 2562 mm</t>
  </si>
  <si>
    <t>sokl záda/čelo DTD 19 mm, 1262 x 100 mm</t>
  </si>
  <si>
    <t>noha, Masiv , 80 x 80 mm x 731 mm</t>
  </si>
  <si>
    <t>přítlačný magnet s protikusem, d 14 mm</t>
  </si>
  <si>
    <t>záda skříně , PDP, tl.5 mm, 2476 x 976 mm</t>
  </si>
  <si>
    <t>stolová deska, DTD 19 mm, DB nákližek tl. 5mm, 471 x 150 mm</t>
  </si>
  <si>
    <t>stolová deska, DTD 19 mm, DB nákližek tl. 5mm, 471 x 1050 mm</t>
  </si>
  <si>
    <t>stolová deska, DTD 19 mm, DB nákližek tl. 5mm, 471 x 724 mm</t>
  </si>
  <si>
    <t>dveře, DTD 19 mm, 2500 x 500 mm</t>
  </si>
  <si>
    <t>sokl bok DTD 19 mm, 882 x 100 mm</t>
  </si>
  <si>
    <t>sokl záda/čelo DTD 19 mm, DB nákližek tl. 5mm, 410 x 100 mm</t>
  </si>
  <si>
    <t>výztuha zad,Masiv , 80 x 20mm x 962 mm</t>
  </si>
  <si>
    <t>bok, DTD / masiv 40 mm, DB nákližek tl. 5mm, 500 x 900 mm</t>
  </si>
  <si>
    <t>tvarovaný bok, DTD / masiv 40 mm, DB nákližek tl. 5mm, 500 x 900 mm</t>
  </si>
  <si>
    <t>záda lavice , DTD 19,  DB nákližek tl. 5mm,1620 x 660 mm</t>
  </si>
  <si>
    <t>opěrka lavice , DTD 19,1620 x 414 mm</t>
  </si>
  <si>
    <t>sedák lavice , DTD 19, 1620 x 441 mm</t>
  </si>
  <si>
    <t>lub sedáku, Masiv, 40 x 21 x 441 mm</t>
  </si>
  <si>
    <t>kryt topení, DTD 19,  DB nákližek tl. 5mm,1620 x 70 mm</t>
  </si>
  <si>
    <t>záda lavice, Masiv nákližek, 1620 x 40 mm, 40 mm</t>
  </si>
  <si>
    <t>sedák lavice, Masiv nákližek, 1620 x 40 mm, 40 mm</t>
  </si>
  <si>
    <t>bok, DTD 19, DB nákližek tl. 5mm, 700 x 1250 mm</t>
  </si>
  <si>
    <t>záda bimy , DTD 19,  DB nákližek tl. 5mm, 662 x 1250 mm</t>
  </si>
  <si>
    <t>deska ke čtení , DTD 19, 610 x 662 mm</t>
  </si>
  <si>
    <t>zarážka, Masiv 40 x 40 x 662 mm</t>
  </si>
  <si>
    <t>mezistěna, DTD 19 mm, DB nákližek tl. 5mm, 662 x 640 mm</t>
  </si>
  <si>
    <t>sokl bok DTD 19 mm, 662 x 50 mm</t>
  </si>
  <si>
    <t>sokl záda/čelo DTD 19 mm, 402 x 50 mm</t>
  </si>
  <si>
    <t>záda zásuvky, PDP,tl.12mm, 362 x 120 mm</t>
  </si>
  <si>
    <t>bok zásuvky, PDP, tl.12 mm, 600 x 120mm</t>
  </si>
  <si>
    <t>dno zásuvky, PDP, tl.5 mm, 372 x 593 mm</t>
  </si>
  <si>
    <t>nutno zaměřit na místě</t>
  </si>
  <si>
    <t>bok skříně, DTD 19, 320 x 1620 mm</t>
  </si>
  <si>
    <t>korpus - bok, Masiv nákližek, 40 x 40 mm, l 1700mm</t>
  </si>
  <si>
    <t>korpus - bok, Masiv nákližek, 40 x 40 mm, l 320mm</t>
  </si>
  <si>
    <t>půda/dno, DTD 19, 1120 x 320 mm</t>
  </si>
  <si>
    <t>půda / dno, Masiv nákližek, 40 x 40 mm, l 1120 mm</t>
  </si>
  <si>
    <t>dveře , Masiv nákližek, 40 x 19 mm, l 1620 mm</t>
  </si>
  <si>
    <t>dveře , Masiv nákližek, 40 x 19 mm, l 480 mm</t>
  </si>
  <si>
    <t>dveře, DTD 19 mm, 1540 x 480 mm</t>
  </si>
  <si>
    <t>záda skříně, DTD 19, 1120 x 1620 mm</t>
  </si>
  <si>
    <t>cena celkem</t>
  </si>
  <si>
    <t>bezbarvý matný lak</t>
  </si>
  <si>
    <t>mezistěna, DTD 19 mm, hrana-přírodní dýha, 2462 x 406 mm</t>
  </si>
  <si>
    <t>boky, DTD 19 mm, hrana-přírodní dýha, 2500 x 431 mm</t>
  </si>
  <si>
    <t>půda / dno, DTD 19 mm, hrana-přírodní dýha, 962 x 431 mm</t>
  </si>
  <si>
    <t>police, DTD 19 mm, hrana-přírodní dýha, 471 x 396 mm</t>
  </si>
  <si>
    <t>cena materiálu</t>
  </si>
  <si>
    <t>řezivo</t>
  </si>
  <si>
    <t xml:space="preserve"> m3</t>
  </si>
  <si>
    <t>deskový materiál</t>
  </si>
  <si>
    <t xml:space="preserve"> m2</t>
  </si>
  <si>
    <t>dno, DTD 19 mm, 1722 x 420 mm</t>
  </si>
  <si>
    <t>cena</t>
  </si>
  <si>
    <t>jednotková</t>
  </si>
  <si>
    <t>půda , DTD 40 mm, 1722 x 420 mm</t>
  </si>
  <si>
    <t>plexisklo pískované, 5 mm, 1734 x 2134 mm</t>
  </si>
  <si>
    <t>dolní ukončení lanka s možností dopnutí</t>
  </si>
  <si>
    <t>bezbarvý matný lak-dvousložkový polyuretan</t>
  </si>
  <si>
    <t>cena s prácí</t>
  </si>
  <si>
    <t>zámek na sklo s protikusem (pravý, levý)</t>
  </si>
  <si>
    <t>cena (ks,m2,m3)</t>
  </si>
  <si>
    <t>diody, zářivka, viz výkres osvětlení</t>
  </si>
  <si>
    <t>pozink</t>
  </si>
  <si>
    <t>nábytkové spoje na pevno, veškerý viditelný spojovací materiál v pomosazeném provedení</t>
  </si>
  <si>
    <t xml:space="preserve">přírodní dýha - dub </t>
  </si>
  <si>
    <t>nákližek dub-masiv 5mm</t>
  </si>
  <si>
    <t>Masiv, 40 x 25 x 700 mm</t>
  </si>
  <si>
    <t>Masiv, 40 x 25 x 665 mm</t>
  </si>
  <si>
    <t>Masiv, 40 x 25 x 405 mm</t>
  </si>
  <si>
    <t>cena celkem deska</t>
  </si>
  <si>
    <t>cena celkem koza</t>
  </si>
  <si>
    <t>dub-masiv 5mm</t>
  </si>
  <si>
    <t>surová</t>
  </si>
  <si>
    <t>boky, DTD 19 mm, DB dýha  hrana, 2600 x 400 mm</t>
  </si>
  <si>
    <t>půda / dno, DTD 19 mm, DB dýha hrana, 1262 x 400 mm</t>
  </si>
  <si>
    <t>police, DTD 19 mm, DB dýha hrana, 1262 x 365 mm</t>
  </si>
  <si>
    <t>mezistěna,DTD 19 mm, DB dýha hrana,1262 x 375 mm</t>
  </si>
  <si>
    <t>Stolová deska, DTD 19, DB dýha hrana, 2800 x 700 mm</t>
  </si>
  <si>
    <t>lub, DTD 19, DB dýha hrana, 2560 x 81 mm</t>
  </si>
  <si>
    <t>lub, DTD 19, DB dýha hrana, 460 x 81 mm</t>
  </si>
  <si>
    <t>lub, DTD 19, DB dýha hrana, 542 x 81 mm</t>
  </si>
  <si>
    <t>stůl:</t>
  </si>
  <si>
    <t>DTD 19, DB dýha hrana, 402 x 165mm</t>
  </si>
  <si>
    <t>Stolová deska, DTD 19, DB dýha hrana, 1480 x 700 mm</t>
  </si>
  <si>
    <t>bok stolu, DTD 19, DB dýha hrana, 700 x 681 mm</t>
  </si>
  <si>
    <t>dno stolu, DTD 19, DB dýha hrana, 700 x 442 mm</t>
  </si>
  <si>
    <t>lub stolu, DTD 19, DB dýha hrana, 600 x 156 mm</t>
  </si>
  <si>
    <t>mezistěna, DTD 19 mm, DB dýha hrana,600 x 681 mm</t>
  </si>
  <si>
    <t>smrk</t>
  </si>
  <si>
    <t>3a/2.00, 1.03, 2.02</t>
  </si>
  <si>
    <t>cena (ks,m)</t>
  </si>
  <si>
    <t>bílá</t>
  </si>
  <si>
    <t>hliník</t>
  </si>
  <si>
    <t>závěsný profil-lišta</t>
  </si>
  <si>
    <t>držák lišty na zdi</t>
  </si>
  <si>
    <t>hmoždinky</t>
  </si>
  <si>
    <t>výstavní háčky</t>
  </si>
  <si>
    <t>lanko</t>
  </si>
  <si>
    <t xml:space="preserve">závěsy do infocentra </t>
  </si>
  <si>
    <t>nerez</t>
  </si>
  <si>
    <t>textil</t>
  </si>
  <si>
    <t>upřesní se</t>
  </si>
  <si>
    <t>úchyty lanka do lišty</t>
  </si>
  <si>
    <t>zarážka proti rozevření, háček (dle výkresu)</t>
  </si>
  <si>
    <t>zarážka proti rozevření, oka (dle výkresu)</t>
  </si>
  <si>
    <t>ZÁZEMÍ</t>
  </si>
  <si>
    <t>4a</t>
  </si>
  <si>
    <t>pracovní stůl</t>
  </si>
  <si>
    <t>4b</t>
  </si>
  <si>
    <t>LTD Anthracite</t>
  </si>
  <si>
    <t>zázemí stůl</t>
  </si>
  <si>
    <t>4a/kočárovna</t>
  </si>
  <si>
    <t>Stolová deska, LTD 19, hrana Anthracite, 1480 x 700 mm</t>
  </si>
  <si>
    <t>bok stolu LTD 19, hrana Anthracit, 700 x 681 mm</t>
  </si>
  <si>
    <t>dno stolu, LTD 19, hrana Anthracit, 700 x 442 mm</t>
  </si>
  <si>
    <t>lub stolu, LTD 19, hrana Anthracit, 600 x 156 mm</t>
  </si>
  <si>
    <t>sokl bok LTD 19 mm, 66 x 50 mm</t>
  </si>
  <si>
    <t>sokl záda/čelo LTD 19 mm, 402 x 50 mm</t>
  </si>
  <si>
    <t>zázemí regál</t>
  </si>
  <si>
    <t>boky, DTD 19 mm, lamino, hrana, 2600 x 400 mm</t>
  </si>
  <si>
    <t>mezistěna, LTD 19 mm ,600 x 681 mm</t>
  </si>
  <si>
    <t>bílé</t>
  </si>
  <si>
    <t>záda regálu , sololit, tl.5 mm, 1276 x 2476 mm</t>
  </si>
  <si>
    <t>sololit hladký bílý</t>
  </si>
  <si>
    <t>LTD 19, hrana Anthracite, 402 x 165mm</t>
  </si>
  <si>
    <t>záda zásuvky, LTD,tl.12mm, 362 x 120 mm</t>
  </si>
  <si>
    <t>bok zásuvky, LTD, tl.12 mm, 600 x 120mm</t>
  </si>
  <si>
    <t>plsť šedá</t>
  </si>
  <si>
    <t>kancelář</t>
  </si>
  <si>
    <t>bezbarvý matný lak, 2 - 3 x nástřik</t>
  </si>
  <si>
    <t>stoly do hlavního sálu</t>
  </si>
  <si>
    <t>bezbarvý matný lak na podlahy</t>
  </si>
  <si>
    <t xml:space="preserve">nátěr </t>
  </si>
  <si>
    <t>závěs do niky před skříň, mosazná trubka (na pověšení)</t>
  </si>
  <si>
    <t>TYCOVINA 4MM l 2200 mm</t>
  </si>
  <si>
    <t>MOSAZ</t>
  </si>
  <si>
    <t>cena bez DPH</t>
  </si>
  <si>
    <t>cena vč. DPH</t>
  </si>
  <si>
    <t>cena za jedn.</t>
  </si>
  <si>
    <t>DPH 21%</t>
  </si>
  <si>
    <t>elektrické topení, 1500 x 110 x 200 mm - pouze montáž! (již pořízeno)</t>
  </si>
  <si>
    <t>OSTATNÍ</t>
  </si>
  <si>
    <t>doprava</t>
  </si>
  <si>
    <t>montáž, instalace</t>
  </si>
  <si>
    <t>Cena celkem</t>
  </si>
  <si>
    <t>Bima - pult před oltářem</t>
  </si>
  <si>
    <t>Podium</t>
  </si>
  <si>
    <t>Skříň v nice oltáře</t>
  </si>
  <si>
    <t>SYNAGOGA ČKYNĚ - INTERIÉR - PŘEHLED</t>
  </si>
  <si>
    <t>židle - veřejnost (včetně sedáku)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</si>
</sst>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8"/>
      <name val="Arial"/>
      <charset val="238"/>
    </font>
    <font>
      <sz val="10"/>
      <color indexed="8"/>
      <name val="Arial"/>
      <charset val="238"/>
    </font>
    <font>
      <sz val="10"/>
      <color indexed="62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3" fillId="0" borderId="0" xfId="0" applyFont="1"/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3" borderId="0" xfId="0" applyFill="1"/>
    <xf numFmtId="0" fontId="0" fillId="2" borderId="0" xfId="0" applyFill="1"/>
    <xf numFmtId="0" fontId="7" fillId="3" borderId="0" xfId="0" applyFont="1" applyFill="1"/>
    <xf numFmtId="0" fontId="1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4" fillId="2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3" borderId="0" xfId="0" applyFont="1" applyFill="1"/>
    <xf numFmtId="0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3" borderId="0" xfId="0" applyFont="1" applyFill="1"/>
    <xf numFmtId="0" fontId="0" fillId="0" borderId="5" xfId="0" applyNumberFormat="1" applyBorder="1" applyAlignment="1">
      <alignment horizontal="left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0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4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NumberFormat="1" applyBorder="1" applyAlignment="1">
      <alignment horizontal="left"/>
    </xf>
    <xf numFmtId="0" fontId="0" fillId="0" borderId="10" xfId="0" applyNumberFormat="1" applyBorder="1" applyAlignment="1">
      <alignment horizontal="left"/>
    </xf>
    <xf numFmtId="0" fontId="0" fillId="0" borderId="10" xfId="0" applyBorder="1"/>
    <xf numFmtId="0" fontId="1" fillId="0" borderId="9" xfId="0" applyNumberFormat="1" applyFont="1" applyBorder="1" applyAlignment="1">
      <alignment horizontal="left"/>
    </xf>
    <xf numFmtId="0" fontId="1" fillId="0" borderId="11" xfId="0" applyFont="1" applyFill="1" applyBorder="1"/>
    <xf numFmtId="49" fontId="4" fillId="0" borderId="12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0" fillId="0" borderId="13" xfId="0" applyBorder="1"/>
    <xf numFmtId="0" fontId="4" fillId="2" borderId="12" xfId="0" applyFont="1" applyFill="1" applyBorder="1" applyAlignment="1">
      <alignment horizontal="right"/>
    </xf>
    <xf numFmtId="0" fontId="4" fillId="0" borderId="9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0" fontId="4" fillId="0" borderId="5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0" fontId="4" fillId="0" borderId="15" xfId="0" applyNumberFormat="1" applyFont="1" applyBorder="1" applyAlignment="1">
      <alignment horizontal="left"/>
    </xf>
    <xf numFmtId="0" fontId="4" fillId="0" borderId="15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5" xfId="0" applyFont="1" applyBorder="1"/>
    <xf numFmtId="0" fontId="4" fillId="0" borderId="16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zoomScaleNormal="100" workbookViewId="0">
      <selection activeCell="N17" sqref="N17"/>
    </sheetView>
  </sheetViews>
  <sheetFormatPr defaultRowHeight="12.75"/>
  <cols>
    <col min="1" max="1" width="15.5703125" customWidth="1"/>
    <col min="2" max="2" width="14" customWidth="1"/>
    <col min="3" max="3" width="27.42578125" customWidth="1"/>
    <col min="4" max="4" width="5.7109375" customWidth="1"/>
    <col min="5" max="5" width="15.7109375" customWidth="1"/>
    <col min="6" max="6" width="13.140625" customWidth="1"/>
    <col min="7" max="7" width="12.5703125" customWidth="1"/>
    <col min="8" max="8" width="12" customWidth="1"/>
  </cols>
  <sheetData>
    <row r="1" spans="1:8" s="16" customFormat="1" ht="24" thickBot="1">
      <c r="A1" s="23" t="s">
        <v>313</v>
      </c>
      <c r="B1" s="23"/>
      <c r="C1" s="24"/>
      <c r="D1" s="24"/>
      <c r="E1" s="24"/>
    </row>
    <row r="2" spans="1:8">
      <c r="A2" s="44" t="s">
        <v>34</v>
      </c>
      <c r="B2" s="45"/>
      <c r="C2" s="45"/>
      <c r="D2" s="45"/>
      <c r="E2" s="45"/>
      <c r="F2" s="46"/>
      <c r="G2" s="46"/>
      <c r="H2" s="47"/>
    </row>
    <row r="3" spans="1:8">
      <c r="A3" s="48" t="s">
        <v>35</v>
      </c>
      <c r="B3" s="38" t="s">
        <v>36</v>
      </c>
      <c r="C3" s="38" t="s">
        <v>37</v>
      </c>
      <c r="D3" s="38" t="s">
        <v>38</v>
      </c>
      <c r="E3" s="38" t="s">
        <v>303</v>
      </c>
      <c r="F3" s="38" t="s">
        <v>301</v>
      </c>
      <c r="G3" s="38" t="s">
        <v>304</v>
      </c>
      <c r="H3" s="49" t="s">
        <v>302</v>
      </c>
    </row>
    <row r="4" spans="1:8">
      <c r="A4" s="48" t="s">
        <v>39</v>
      </c>
      <c r="B4" s="40" t="s">
        <v>40</v>
      </c>
      <c r="C4" s="38"/>
      <c r="D4" s="38"/>
      <c r="E4" s="38"/>
      <c r="F4" s="39"/>
      <c r="G4" s="39"/>
      <c r="H4" s="50"/>
    </row>
    <row r="5" spans="1:8">
      <c r="A5" s="48" t="s">
        <v>41</v>
      </c>
      <c r="B5" s="40" t="s">
        <v>40</v>
      </c>
      <c r="C5" s="38" t="s">
        <v>22</v>
      </c>
      <c r="D5" s="41">
        <v>4</v>
      </c>
      <c r="E5" s="42"/>
      <c r="F5" s="42">
        <f>E5*D5</f>
        <v>0</v>
      </c>
      <c r="G5" s="39">
        <f t="shared" ref="G5:G34" si="0">0.21*F5</f>
        <v>0</v>
      </c>
      <c r="H5" s="50">
        <f>F5+G5</f>
        <v>0</v>
      </c>
    </row>
    <row r="6" spans="1:8">
      <c r="A6" s="48" t="s">
        <v>42</v>
      </c>
      <c r="B6" s="40" t="s">
        <v>40</v>
      </c>
      <c r="C6" s="38" t="s">
        <v>312</v>
      </c>
      <c r="D6" s="41">
        <v>1</v>
      </c>
      <c r="E6" s="42"/>
      <c r="F6" s="42">
        <f t="shared" ref="F6:F34" si="1">E6*D6</f>
        <v>0</v>
      </c>
      <c r="G6" s="39">
        <f t="shared" si="0"/>
        <v>0</v>
      </c>
      <c r="H6" s="50">
        <f t="shared" ref="H6:H34" si="2">F6+G6</f>
        <v>0</v>
      </c>
    </row>
    <row r="7" spans="1:8">
      <c r="A7" s="48" t="s">
        <v>43</v>
      </c>
      <c r="B7" s="40" t="s">
        <v>40</v>
      </c>
      <c r="C7" s="38" t="s">
        <v>311</v>
      </c>
      <c r="D7" s="41">
        <v>4</v>
      </c>
      <c r="E7" s="42"/>
      <c r="F7" s="42">
        <f t="shared" si="1"/>
        <v>0</v>
      </c>
      <c r="G7" s="39">
        <f t="shared" si="0"/>
        <v>0</v>
      </c>
      <c r="H7" s="50">
        <f t="shared" si="2"/>
        <v>0</v>
      </c>
    </row>
    <row r="8" spans="1:8">
      <c r="A8" s="48" t="s">
        <v>44</v>
      </c>
      <c r="B8" s="40" t="s">
        <v>40</v>
      </c>
      <c r="C8" s="38" t="s">
        <v>314</v>
      </c>
      <c r="D8" s="41">
        <v>125</v>
      </c>
      <c r="E8" s="42"/>
      <c r="F8" s="42">
        <f t="shared" si="1"/>
        <v>0</v>
      </c>
      <c r="G8" s="39">
        <f t="shared" si="0"/>
        <v>0</v>
      </c>
      <c r="H8" s="50">
        <f t="shared" si="2"/>
        <v>0</v>
      </c>
    </row>
    <row r="9" spans="1:8">
      <c r="A9" s="48" t="s">
        <v>45</v>
      </c>
      <c r="B9" s="40" t="s">
        <v>46</v>
      </c>
      <c r="C9" s="38"/>
      <c r="D9" s="41"/>
      <c r="E9" s="42"/>
      <c r="F9" s="42">
        <f t="shared" si="1"/>
        <v>0</v>
      </c>
      <c r="G9" s="39">
        <f t="shared" si="0"/>
        <v>0</v>
      </c>
      <c r="H9" s="50">
        <f t="shared" si="2"/>
        <v>0</v>
      </c>
    </row>
    <row r="10" spans="1:8">
      <c r="A10" s="48" t="s">
        <v>47</v>
      </c>
      <c r="B10" s="40" t="s">
        <v>46</v>
      </c>
      <c r="C10" s="38" t="s">
        <v>310</v>
      </c>
      <c r="D10" s="41">
        <v>1</v>
      </c>
      <c r="E10" s="42"/>
      <c r="F10" s="42">
        <f t="shared" si="1"/>
        <v>0</v>
      </c>
      <c r="G10" s="39">
        <f t="shared" si="0"/>
        <v>0</v>
      </c>
      <c r="H10" s="50">
        <f t="shared" si="2"/>
        <v>0</v>
      </c>
    </row>
    <row r="11" spans="1:8">
      <c r="A11" s="48" t="s">
        <v>48</v>
      </c>
      <c r="B11" s="40" t="s">
        <v>46</v>
      </c>
      <c r="C11" s="38" t="s">
        <v>49</v>
      </c>
      <c r="D11" s="41">
        <v>3</v>
      </c>
      <c r="E11" s="42"/>
      <c r="F11" s="42">
        <f t="shared" si="1"/>
        <v>0</v>
      </c>
      <c r="G11" s="39">
        <f t="shared" si="0"/>
        <v>0</v>
      </c>
      <c r="H11" s="50">
        <f t="shared" si="2"/>
        <v>0</v>
      </c>
    </row>
    <row r="12" spans="1:8">
      <c r="A12" s="48" t="s">
        <v>50</v>
      </c>
      <c r="B12" s="40" t="s">
        <v>46</v>
      </c>
      <c r="C12" s="38" t="s">
        <v>51</v>
      </c>
      <c r="D12" s="41">
        <v>3</v>
      </c>
      <c r="E12" s="42"/>
      <c r="F12" s="42">
        <f t="shared" si="1"/>
        <v>0</v>
      </c>
      <c r="G12" s="39">
        <f t="shared" si="0"/>
        <v>0</v>
      </c>
      <c r="H12" s="50">
        <f t="shared" si="2"/>
        <v>0</v>
      </c>
    </row>
    <row r="13" spans="1:8">
      <c r="A13" s="48" t="s">
        <v>52</v>
      </c>
      <c r="B13" s="40" t="s">
        <v>53</v>
      </c>
      <c r="C13" s="38"/>
      <c r="D13" s="41"/>
      <c r="E13" s="42"/>
      <c r="F13" s="42">
        <f t="shared" si="1"/>
        <v>0</v>
      </c>
      <c r="G13" s="39">
        <f t="shared" si="0"/>
        <v>0</v>
      </c>
      <c r="H13" s="50">
        <f t="shared" si="2"/>
        <v>0</v>
      </c>
    </row>
    <row r="14" spans="1:8">
      <c r="A14" s="48" t="s">
        <v>47</v>
      </c>
      <c r="B14" s="40" t="s">
        <v>53</v>
      </c>
      <c r="C14" s="38" t="s">
        <v>54</v>
      </c>
      <c r="D14" s="41">
        <v>6</v>
      </c>
      <c r="E14" s="42"/>
      <c r="F14" s="42">
        <f t="shared" si="1"/>
        <v>0</v>
      </c>
      <c r="G14" s="39">
        <f t="shared" si="0"/>
        <v>0</v>
      </c>
      <c r="H14" s="50">
        <f t="shared" si="2"/>
        <v>0</v>
      </c>
    </row>
    <row r="15" spans="1:8">
      <c r="A15" s="48" t="s">
        <v>48</v>
      </c>
      <c r="B15" s="40" t="s">
        <v>53</v>
      </c>
      <c r="C15" s="38" t="s">
        <v>27</v>
      </c>
      <c r="D15" s="41">
        <v>1</v>
      </c>
      <c r="E15" s="42"/>
      <c r="F15" s="42">
        <f t="shared" si="1"/>
        <v>0</v>
      </c>
      <c r="G15" s="39">
        <f t="shared" si="0"/>
        <v>0</v>
      </c>
      <c r="H15" s="50">
        <f t="shared" si="2"/>
        <v>0</v>
      </c>
    </row>
    <row r="16" spans="1:8">
      <c r="A16" s="48" t="s">
        <v>55</v>
      </c>
      <c r="B16" s="40" t="s">
        <v>56</v>
      </c>
      <c r="C16" s="38"/>
      <c r="D16" s="41"/>
      <c r="E16" s="42"/>
      <c r="F16" s="42">
        <f t="shared" si="1"/>
        <v>0</v>
      </c>
      <c r="G16" s="39">
        <f t="shared" si="0"/>
        <v>0</v>
      </c>
      <c r="H16" s="50">
        <f t="shared" si="2"/>
        <v>0</v>
      </c>
    </row>
    <row r="17" spans="1:8">
      <c r="A17" s="48" t="s">
        <v>50</v>
      </c>
      <c r="B17" s="40" t="s">
        <v>56</v>
      </c>
      <c r="C17" s="38" t="s">
        <v>31</v>
      </c>
      <c r="D17" s="41">
        <v>1</v>
      </c>
      <c r="E17" s="42"/>
      <c r="F17" s="42">
        <f t="shared" si="1"/>
        <v>0</v>
      </c>
      <c r="G17" s="39">
        <f t="shared" si="0"/>
        <v>0</v>
      </c>
      <c r="H17" s="50">
        <f t="shared" si="2"/>
        <v>0</v>
      </c>
    </row>
    <row r="18" spans="1:8">
      <c r="A18" s="48" t="s">
        <v>57</v>
      </c>
      <c r="B18" s="40" t="s">
        <v>56</v>
      </c>
      <c r="C18" s="38" t="s">
        <v>28</v>
      </c>
      <c r="D18" s="41">
        <v>2</v>
      </c>
      <c r="E18" s="42"/>
      <c r="F18" s="42">
        <f t="shared" si="1"/>
        <v>0</v>
      </c>
      <c r="G18" s="39">
        <f t="shared" si="0"/>
        <v>0</v>
      </c>
      <c r="H18" s="50">
        <f t="shared" si="2"/>
        <v>0</v>
      </c>
    </row>
    <row r="19" spans="1:8">
      <c r="A19" s="48" t="s">
        <v>58</v>
      </c>
      <c r="B19" s="40" t="s">
        <v>59</v>
      </c>
      <c r="C19" s="38"/>
      <c r="D19" s="41"/>
      <c r="E19" s="42"/>
      <c r="F19" s="42">
        <f t="shared" si="1"/>
        <v>0</v>
      </c>
      <c r="G19" s="39">
        <f t="shared" si="0"/>
        <v>0</v>
      </c>
      <c r="H19" s="50">
        <f t="shared" si="2"/>
        <v>0</v>
      </c>
    </row>
    <row r="20" spans="1:8">
      <c r="A20" s="48" t="s">
        <v>60</v>
      </c>
      <c r="B20" s="40" t="s">
        <v>59</v>
      </c>
      <c r="C20" s="43" t="s">
        <v>81</v>
      </c>
      <c r="D20" s="41">
        <v>1</v>
      </c>
      <c r="E20" s="42"/>
      <c r="F20" s="42">
        <f t="shared" si="1"/>
        <v>0</v>
      </c>
      <c r="G20" s="39">
        <f t="shared" si="0"/>
        <v>0</v>
      </c>
      <c r="H20" s="50">
        <f t="shared" si="2"/>
        <v>0</v>
      </c>
    </row>
    <row r="21" spans="1:8">
      <c r="A21" s="48"/>
      <c r="B21" s="40"/>
      <c r="C21" s="43"/>
      <c r="D21" s="41"/>
      <c r="E21" s="42"/>
      <c r="F21" s="42">
        <f t="shared" si="1"/>
        <v>0</v>
      </c>
      <c r="G21" s="39">
        <f t="shared" si="0"/>
        <v>0</v>
      </c>
      <c r="H21" s="50">
        <f t="shared" si="2"/>
        <v>0</v>
      </c>
    </row>
    <row r="22" spans="1:8">
      <c r="A22" s="48" t="s">
        <v>270</v>
      </c>
      <c r="B22" s="40"/>
      <c r="C22" s="43"/>
      <c r="D22" s="41"/>
      <c r="E22" s="42"/>
      <c r="F22" s="42">
        <f t="shared" si="1"/>
        <v>0</v>
      </c>
      <c r="G22" s="39">
        <f t="shared" si="0"/>
        <v>0</v>
      </c>
      <c r="H22" s="50">
        <f t="shared" si="2"/>
        <v>0</v>
      </c>
    </row>
    <row r="23" spans="1:8">
      <c r="A23" s="48" t="s">
        <v>271</v>
      </c>
      <c r="B23" s="40" t="s">
        <v>293</v>
      </c>
      <c r="C23" s="43" t="s">
        <v>272</v>
      </c>
      <c r="D23" s="41">
        <v>1</v>
      </c>
      <c r="E23" s="42"/>
      <c r="F23" s="42">
        <f t="shared" si="1"/>
        <v>0</v>
      </c>
      <c r="G23" s="39">
        <f t="shared" si="0"/>
        <v>0</v>
      </c>
      <c r="H23" s="50">
        <f t="shared" si="2"/>
        <v>0</v>
      </c>
    </row>
    <row r="24" spans="1:8">
      <c r="A24" s="48" t="s">
        <v>273</v>
      </c>
      <c r="B24" s="40" t="s">
        <v>293</v>
      </c>
      <c r="C24" s="43" t="s">
        <v>28</v>
      </c>
      <c r="D24" s="41">
        <v>1</v>
      </c>
      <c r="E24" s="42"/>
      <c r="F24" s="42">
        <f t="shared" si="1"/>
        <v>0</v>
      </c>
      <c r="G24" s="39">
        <f t="shared" si="0"/>
        <v>0</v>
      </c>
      <c r="H24" s="50">
        <f t="shared" si="2"/>
        <v>0</v>
      </c>
    </row>
    <row r="25" spans="1:8">
      <c r="A25" s="48"/>
      <c r="B25" s="40"/>
      <c r="C25" s="38"/>
      <c r="D25" s="41"/>
      <c r="E25" s="42"/>
      <c r="F25" s="42">
        <f t="shared" si="1"/>
        <v>0</v>
      </c>
      <c r="G25" s="39">
        <f t="shared" si="0"/>
        <v>0</v>
      </c>
      <c r="H25" s="50">
        <f t="shared" si="2"/>
        <v>0</v>
      </c>
    </row>
    <row r="26" spans="1:8">
      <c r="A26" s="51" t="s">
        <v>62</v>
      </c>
      <c r="B26" s="40"/>
      <c r="C26" s="38"/>
      <c r="D26" s="41"/>
      <c r="E26" s="42"/>
      <c r="F26" s="42">
        <f t="shared" si="1"/>
        <v>0</v>
      </c>
      <c r="G26" s="39">
        <f t="shared" si="0"/>
        <v>0</v>
      </c>
      <c r="H26" s="50">
        <f t="shared" si="2"/>
        <v>0</v>
      </c>
    </row>
    <row r="27" spans="1:8">
      <c r="A27" s="48" t="s">
        <v>63</v>
      </c>
      <c r="B27" s="40" t="s">
        <v>64</v>
      </c>
      <c r="C27" s="38" t="s">
        <v>65</v>
      </c>
      <c r="D27" s="41">
        <v>1</v>
      </c>
      <c r="E27" s="42"/>
      <c r="F27" s="42">
        <f t="shared" si="1"/>
        <v>0</v>
      </c>
      <c r="G27" s="39">
        <f t="shared" si="0"/>
        <v>0</v>
      </c>
      <c r="H27" s="50">
        <f t="shared" si="2"/>
        <v>0</v>
      </c>
    </row>
    <row r="28" spans="1:8">
      <c r="A28" s="48" t="s">
        <v>66</v>
      </c>
      <c r="B28" s="40" t="s">
        <v>61</v>
      </c>
      <c r="C28" s="38" t="s">
        <v>67</v>
      </c>
      <c r="D28" s="41">
        <v>10</v>
      </c>
      <c r="E28" s="42"/>
      <c r="F28" s="42">
        <f t="shared" si="1"/>
        <v>0</v>
      </c>
      <c r="G28" s="39">
        <f t="shared" si="0"/>
        <v>0</v>
      </c>
      <c r="H28" s="50">
        <f t="shared" si="2"/>
        <v>0</v>
      </c>
    </row>
    <row r="29" spans="1:8">
      <c r="A29" s="48" t="s">
        <v>68</v>
      </c>
      <c r="B29" s="40" t="s">
        <v>40</v>
      </c>
      <c r="C29" s="38" t="s">
        <v>69</v>
      </c>
      <c r="D29" s="41">
        <v>8</v>
      </c>
      <c r="E29" s="42"/>
      <c r="F29" s="42">
        <f t="shared" si="1"/>
        <v>0</v>
      </c>
      <c r="G29" s="39">
        <f t="shared" si="0"/>
        <v>0</v>
      </c>
      <c r="H29" s="50">
        <f t="shared" si="2"/>
        <v>0</v>
      </c>
    </row>
    <row r="30" spans="1:8">
      <c r="A30" s="48" t="s">
        <v>70</v>
      </c>
      <c r="B30" s="40" t="s">
        <v>40</v>
      </c>
      <c r="C30" s="38" t="s">
        <v>71</v>
      </c>
      <c r="D30" s="41">
        <v>16</v>
      </c>
      <c r="E30" s="42"/>
      <c r="F30" s="42">
        <f t="shared" si="1"/>
        <v>0</v>
      </c>
      <c r="G30" s="39">
        <f t="shared" si="0"/>
        <v>0</v>
      </c>
      <c r="H30" s="50">
        <f t="shared" si="2"/>
        <v>0</v>
      </c>
    </row>
    <row r="31" spans="1:8">
      <c r="A31" s="48"/>
      <c r="B31" s="40"/>
      <c r="C31" s="38"/>
      <c r="D31" s="41"/>
      <c r="E31" s="42"/>
      <c r="F31" s="42">
        <f t="shared" si="1"/>
        <v>0</v>
      </c>
      <c r="G31" s="39">
        <f t="shared" si="0"/>
        <v>0</v>
      </c>
      <c r="H31" s="50">
        <f t="shared" si="2"/>
        <v>0</v>
      </c>
    </row>
    <row r="32" spans="1:8">
      <c r="A32" s="51" t="s">
        <v>306</v>
      </c>
      <c r="B32" s="40"/>
      <c r="C32" s="38"/>
      <c r="D32" s="41"/>
      <c r="E32" s="42"/>
      <c r="F32" s="42">
        <f t="shared" si="1"/>
        <v>0</v>
      </c>
      <c r="G32" s="39">
        <f t="shared" si="0"/>
        <v>0</v>
      </c>
      <c r="H32" s="50">
        <f t="shared" si="2"/>
        <v>0</v>
      </c>
    </row>
    <row r="33" spans="1:8" s="4" customFormat="1">
      <c r="A33" s="59" t="s">
        <v>307</v>
      </c>
      <c r="B33" s="60"/>
      <c r="C33" s="43"/>
      <c r="D33" s="61">
        <v>1</v>
      </c>
      <c r="E33" s="42"/>
      <c r="F33" s="42">
        <f t="shared" si="1"/>
        <v>0</v>
      </c>
      <c r="G33" s="39">
        <f t="shared" si="0"/>
        <v>0</v>
      </c>
      <c r="H33" s="50">
        <f t="shared" si="2"/>
        <v>0</v>
      </c>
    </row>
    <row r="34" spans="1:8" s="4" customFormat="1">
      <c r="A34" s="59" t="s">
        <v>308</v>
      </c>
      <c r="B34" s="60"/>
      <c r="C34" s="43"/>
      <c r="D34" s="61">
        <v>1</v>
      </c>
      <c r="E34" s="42"/>
      <c r="F34" s="42">
        <f t="shared" si="1"/>
        <v>0</v>
      </c>
      <c r="G34" s="39">
        <f t="shared" si="0"/>
        <v>0</v>
      </c>
      <c r="H34" s="50">
        <f t="shared" si="2"/>
        <v>0</v>
      </c>
    </row>
    <row r="35" spans="1:8" s="4" customFormat="1">
      <c r="A35" s="62"/>
      <c r="B35" s="63"/>
      <c r="C35" s="64"/>
      <c r="D35" s="65"/>
      <c r="E35" s="65"/>
      <c r="F35" s="66"/>
      <c r="G35" s="67"/>
      <c r="H35" s="68"/>
    </row>
    <row r="36" spans="1:8" s="13" customFormat="1" ht="13.5" thickBot="1">
      <c r="A36" s="52" t="s">
        <v>309</v>
      </c>
      <c r="B36" s="53"/>
      <c r="C36" s="54"/>
      <c r="D36" s="55"/>
      <c r="E36" s="55"/>
      <c r="F36" s="58">
        <f>SUM(F4:F34)</f>
        <v>0</v>
      </c>
      <c r="G36" s="56">
        <f>SUM(G4:G34)</f>
        <v>0</v>
      </c>
      <c r="H36" s="57">
        <f>F36+G36</f>
        <v>0</v>
      </c>
    </row>
    <row r="37" spans="1:8">
      <c r="A37" s="8"/>
      <c r="B37" s="9"/>
      <c r="C37" s="8"/>
      <c r="D37" s="33"/>
      <c r="E37" s="33"/>
      <c r="F37" s="35"/>
    </row>
    <row r="38" spans="1:8">
      <c r="A38" s="11"/>
      <c r="B38" s="9"/>
      <c r="C38" s="8"/>
      <c r="D38" s="33"/>
      <c r="E38" s="33"/>
      <c r="F38" s="35"/>
    </row>
    <row r="39" spans="1:8">
      <c r="A39" s="8"/>
      <c r="B39" s="9"/>
      <c r="C39" s="8"/>
      <c r="D39" s="33"/>
      <c r="E39" s="33"/>
      <c r="F39" s="35"/>
    </row>
    <row r="40" spans="1:8">
      <c r="A40" s="8"/>
      <c r="B40" s="9"/>
      <c r="C40" s="12"/>
      <c r="D40" s="33"/>
      <c r="E40" s="33"/>
      <c r="F40" s="35"/>
    </row>
    <row r="41" spans="1:8">
      <c r="A41" s="8"/>
      <c r="B41" s="34"/>
      <c r="C41" s="12"/>
      <c r="D41" s="33"/>
      <c r="E41" s="33"/>
      <c r="F41" s="35"/>
      <c r="G41" s="4"/>
    </row>
    <row r="42" spans="1:8">
      <c r="A42" s="8"/>
      <c r="B42" s="9"/>
      <c r="C42" s="8"/>
      <c r="D42" s="33"/>
      <c r="E42" s="33"/>
      <c r="F42" s="35"/>
    </row>
    <row r="43" spans="1:8">
      <c r="A43" s="8"/>
      <c r="B43" s="9"/>
      <c r="C43" s="8"/>
      <c r="D43" s="33"/>
      <c r="E43" s="33"/>
      <c r="F43" s="35"/>
    </row>
    <row r="44" spans="1:8">
      <c r="A44" s="8"/>
      <c r="B44" s="9"/>
      <c r="C44" s="8"/>
      <c r="D44" s="33"/>
      <c r="E44" s="33"/>
      <c r="F44" s="35"/>
    </row>
    <row r="45" spans="1:8">
      <c r="A45" s="8"/>
      <c r="B45" s="9"/>
      <c r="C45" s="8"/>
      <c r="D45" s="33"/>
      <c r="E45" s="33"/>
      <c r="F45" s="35"/>
    </row>
    <row r="46" spans="1:8">
      <c r="B46" s="36"/>
      <c r="D46" s="35"/>
      <c r="E46" s="35"/>
      <c r="F46" s="35"/>
    </row>
    <row r="47" spans="1:8">
      <c r="A47" s="8"/>
      <c r="B47" s="9"/>
      <c r="D47" s="35"/>
      <c r="E47" s="35"/>
      <c r="F47" s="35"/>
    </row>
    <row r="48" spans="1:8">
      <c r="A48" s="8"/>
      <c r="B48" s="9"/>
      <c r="D48" s="35"/>
      <c r="E48" s="35"/>
      <c r="F48" s="35"/>
    </row>
    <row r="49" spans="1:6">
      <c r="A49" s="8"/>
      <c r="B49" s="9"/>
      <c r="D49" s="35"/>
      <c r="E49" s="35"/>
      <c r="F49" s="35"/>
    </row>
    <row r="50" spans="1:6">
      <c r="B50" s="36"/>
      <c r="D50" s="35"/>
      <c r="E50" s="35"/>
      <c r="F50" s="35"/>
    </row>
    <row r="51" spans="1:6">
      <c r="B51" s="36"/>
    </row>
    <row r="52" spans="1:6">
      <c r="B52" s="36"/>
    </row>
    <row r="53" spans="1:6">
      <c r="B53" s="36"/>
    </row>
    <row r="54" spans="1:6">
      <c r="B54" s="36"/>
    </row>
    <row r="55" spans="1:6">
      <c r="B55" s="36"/>
    </row>
    <row r="56" spans="1:6">
      <c r="B56" s="36"/>
    </row>
    <row r="57" spans="1:6">
      <c r="B57" s="36"/>
    </row>
    <row r="58" spans="1:6">
      <c r="B58" s="36"/>
    </row>
    <row r="59" spans="1:6">
      <c r="B59" s="36"/>
    </row>
    <row r="60" spans="1:6">
      <c r="B60" s="36"/>
    </row>
    <row r="61" spans="1:6">
      <c r="B61" s="36"/>
    </row>
    <row r="62" spans="1:6">
      <c r="B62" s="36"/>
    </row>
    <row r="63" spans="1:6">
      <c r="B63" s="36"/>
    </row>
    <row r="64" spans="1:6">
      <c r="B64" s="36"/>
    </row>
    <row r="65" spans="2:2">
      <c r="B65" s="36"/>
    </row>
    <row r="66" spans="2:2">
      <c r="B66" s="36"/>
    </row>
    <row r="67" spans="2:2">
      <c r="B67" s="36"/>
    </row>
    <row r="68" spans="2:2">
      <c r="B68" s="36"/>
    </row>
    <row r="69" spans="2:2">
      <c r="B69" s="36"/>
    </row>
    <row r="70" spans="2:2">
      <c r="B70" s="36"/>
    </row>
  </sheetData>
  <phoneticPr fontId="6" type="noConversion"/>
  <pageMargins left="0.7" right="0.7" top="0.78740157499999996" bottom="0.78740157499999996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15" sqref="F15"/>
    </sheetView>
  </sheetViews>
  <sheetFormatPr defaultRowHeight="12.75"/>
  <cols>
    <col min="1" max="1" width="54.42578125" customWidth="1"/>
    <col min="2" max="2" width="20.42578125" customWidth="1"/>
    <col min="3" max="3" width="29.140625" customWidth="1"/>
    <col min="4" max="4" width="8" customWidth="1"/>
    <col min="5" max="5" width="10" customWidth="1"/>
    <col min="6" max="7" width="16.28515625" customWidth="1"/>
    <col min="8" max="8" width="17.140625" customWidth="1"/>
    <col min="9" max="9" width="12.7109375" customWidth="1"/>
  </cols>
  <sheetData>
    <row r="1" spans="1:10" ht="23.25">
      <c r="A1" s="7" t="s">
        <v>77</v>
      </c>
      <c r="B1" s="7"/>
      <c r="C1" s="7"/>
      <c r="D1" s="7"/>
      <c r="E1" s="7"/>
      <c r="F1" s="7"/>
      <c r="G1" s="7"/>
      <c r="H1" s="7"/>
      <c r="I1" s="7"/>
      <c r="J1" s="7"/>
    </row>
    <row r="2" spans="1:10" s="16" customFormat="1" ht="23.25">
      <c r="A2" s="22" t="s">
        <v>76</v>
      </c>
    </row>
    <row r="3" spans="1:10">
      <c r="A3" t="s">
        <v>155</v>
      </c>
      <c r="B3">
        <v>1</v>
      </c>
      <c r="C3" t="s">
        <v>228</v>
      </c>
    </row>
    <row r="4" spans="1:10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  <c r="I4" s="1"/>
    </row>
    <row r="5" spans="1:10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10">
      <c r="A6" s="13" t="s">
        <v>185</v>
      </c>
      <c r="B6" t="s">
        <v>82</v>
      </c>
      <c r="C6" s="4" t="s">
        <v>294</v>
      </c>
      <c r="D6">
        <v>2</v>
      </c>
      <c r="F6">
        <f>(700*1250*2)/1000000</f>
        <v>1.75</v>
      </c>
      <c r="G6" s="4">
        <v>0</v>
      </c>
      <c r="H6">
        <f>G6*F6*1.3</f>
        <v>0</v>
      </c>
    </row>
    <row r="7" spans="1:10">
      <c r="A7" s="4" t="s">
        <v>186</v>
      </c>
      <c r="B7" t="s">
        <v>82</v>
      </c>
      <c r="C7" s="4" t="s">
        <v>294</v>
      </c>
      <c r="D7">
        <v>1</v>
      </c>
      <c r="F7">
        <f>(662*1250)/1000000</f>
        <v>0.82750000000000001</v>
      </c>
      <c r="G7" s="4">
        <v>0</v>
      </c>
      <c r="H7">
        <f>G7*F7*1.3</f>
        <v>0</v>
      </c>
    </row>
    <row r="8" spans="1:10">
      <c r="A8" s="13" t="s">
        <v>187</v>
      </c>
      <c r="B8" t="s">
        <v>82</v>
      </c>
      <c r="C8" s="4" t="s">
        <v>294</v>
      </c>
      <c r="D8">
        <v>1</v>
      </c>
      <c r="F8">
        <f>(610*662)/1000000</f>
        <v>0.40382000000000001</v>
      </c>
      <c r="G8" s="4">
        <v>0</v>
      </c>
      <c r="H8">
        <f>G8*F8*1.3</f>
        <v>0</v>
      </c>
    </row>
    <row r="9" spans="1:10">
      <c r="A9" s="13" t="s">
        <v>188</v>
      </c>
      <c r="B9" t="s">
        <v>5</v>
      </c>
      <c r="D9">
        <v>1</v>
      </c>
      <c r="E9">
        <f>(40*40*662)/1000000000</f>
        <v>1.0591999999999999E-3</v>
      </c>
      <c r="G9" s="4">
        <v>0</v>
      </c>
      <c r="H9">
        <f>G9*E9*1.3</f>
        <v>0</v>
      </c>
    </row>
    <row r="10" spans="1:10">
      <c r="A10" s="13" t="s">
        <v>189</v>
      </c>
      <c r="B10" t="s">
        <v>82</v>
      </c>
      <c r="C10" s="4" t="s">
        <v>294</v>
      </c>
      <c r="D10">
        <v>1</v>
      </c>
      <c r="F10">
        <f>(662*640)/1000000</f>
        <v>0.42368</v>
      </c>
      <c r="G10" s="4">
        <v>0</v>
      </c>
      <c r="H10">
        <f>G10*F10*1.3</f>
        <v>0</v>
      </c>
    </row>
    <row r="11" spans="1:10">
      <c r="A11" s="4" t="s">
        <v>110</v>
      </c>
      <c r="B11" s="4" t="s">
        <v>87</v>
      </c>
      <c r="C11" t="s">
        <v>112</v>
      </c>
      <c r="D11">
        <v>4</v>
      </c>
      <c r="G11">
        <v>0</v>
      </c>
      <c r="H11">
        <f>G11*D11</f>
        <v>0</v>
      </c>
    </row>
    <row r="13" spans="1:10">
      <c r="A13" t="s">
        <v>211</v>
      </c>
      <c r="H13">
        <f>SUM(H6:H11)</f>
        <v>0</v>
      </c>
    </row>
    <row r="14" spans="1:10">
      <c r="A14" s="4" t="s">
        <v>223</v>
      </c>
      <c r="H14">
        <f>H13*1.6</f>
        <v>0</v>
      </c>
    </row>
    <row r="15" spans="1:10">
      <c r="A15" s="4" t="s">
        <v>222</v>
      </c>
      <c r="G15">
        <v>0</v>
      </c>
      <c r="H15">
        <f>G15*F15</f>
        <v>0</v>
      </c>
    </row>
    <row r="16" spans="1:10">
      <c r="A16" s="4"/>
    </row>
    <row r="17" spans="1:8" s="16" customFormat="1">
      <c r="A17" s="1" t="s">
        <v>205</v>
      </c>
      <c r="H17" s="1">
        <f>SUM(H14:H15)</f>
        <v>0</v>
      </c>
    </row>
    <row r="21" spans="1:8">
      <c r="A21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9"/>
  <sheetViews>
    <sheetView topLeftCell="A13" workbookViewId="0">
      <selection activeCell="G30" sqref="G30"/>
    </sheetView>
  </sheetViews>
  <sheetFormatPr defaultRowHeight="12.75"/>
  <cols>
    <col min="1" max="1" width="56.7109375" customWidth="1"/>
    <col min="2" max="2" width="21.28515625" customWidth="1"/>
    <col min="3" max="3" width="29" customWidth="1"/>
    <col min="4" max="4" width="6.42578125" customWidth="1"/>
    <col min="5" max="5" width="11.28515625" customWidth="1"/>
    <col min="6" max="6" width="16.7109375" customWidth="1"/>
    <col min="7" max="7" width="16.5703125" customWidth="1"/>
    <col min="9" max="9" width="11.140625" customWidth="1"/>
  </cols>
  <sheetData>
    <row r="1" spans="1:9" ht="23.25">
      <c r="A1" s="7" t="s">
        <v>26</v>
      </c>
      <c r="B1" s="7"/>
      <c r="C1" s="7"/>
      <c r="D1" s="7"/>
      <c r="E1" s="7"/>
      <c r="F1" s="7"/>
      <c r="G1" s="7"/>
      <c r="H1" s="7"/>
    </row>
    <row r="2" spans="1:9" s="16" customFormat="1" ht="23.25">
      <c r="A2" s="22" t="s">
        <v>96</v>
      </c>
    </row>
    <row r="3" spans="1:9">
      <c r="A3" t="s">
        <v>155</v>
      </c>
      <c r="B3">
        <v>1</v>
      </c>
      <c r="C3" t="s">
        <v>228</v>
      </c>
    </row>
    <row r="4" spans="1:9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  <c r="I4" s="1" t="s">
        <v>83</v>
      </c>
    </row>
    <row r="5" spans="1:9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9" s="15" customFormat="1">
      <c r="A6" s="18" t="s">
        <v>246</v>
      </c>
      <c r="E6" s="18"/>
      <c r="F6" s="18"/>
      <c r="G6" s="18"/>
      <c r="H6" s="18"/>
    </row>
    <row r="7" spans="1:9">
      <c r="A7" s="4" t="s">
        <v>248</v>
      </c>
      <c r="B7" s="4" t="s">
        <v>82</v>
      </c>
      <c r="C7" t="s">
        <v>7</v>
      </c>
      <c r="D7">
        <v>1</v>
      </c>
      <c r="F7">
        <f>(1480*700)/1000000</f>
        <v>1.036</v>
      </c>
      <c r="G7" s="4">
        <v>0</v>
      </c>
      <c r="H7">
        <f>G7*1.3*F7</f>
        <v>0</v>
      </c>
    </row>
    <row r="8" spans="1:9">
      <c r="A8" s="13" t="s">
        <v>249</v>
      </c>
      <c r="B8" t="s">
        <v>82</v>
      </c>
      <c r="C8" t="s">
        <v>7</v>
      </c>
      <c r="D8">
        <v>4</v>
      </c>
      <c r="F8">
        <f>(4*700*681)/1000000</f>
        <v>1.9068000000000001</v>
      </c>
      <c r="G8" s="4">
        <v>0</v>
      </c>
      <c r="H8">
        <f t="shared" ref="H8:H17" si="0">G8*1.3*F8</f>
        <v>0</v>
      </c>
    </row>
    <row r="9" spans="1:9">
      <c r="A9" s="13" t="s">
        <v>250</v>
      </c>
      <c r="B9" t="s">
        <v>82</v>
      </c>
      <c r="C9" t="s">
        <v>7</v>
      </c>
      <c r="D9" s="4">
        <v>2</v>
      </c>
      <c r="E9" s="4"/>
      <c r="F9" s="4">
        <f>(700*442*2)/1000000</f>
        <v>0.61880000000000002</v>
      </c>
      <c r="G9" s="4">
        <v>0</v>
      </c>
      <c r="H9">
        <f t="shared" si="0"/>
        <v>0</v>
      </c>
    </row>
    <row r="10" spans="1:9">
      <c r="A10" s="13" t="s">
        <v>251</v>
      </c>
      <c r="B10" s="4" t="s">
        <v>82</v>
      </c>
      <c r="C10" s="4" t="s">
        <v>294</v>
      </c>
      <c r="D10" s="4">
        <v>1</v>
      </c>
      <c r="E10" s="4"/>
      <c r="F10" s="4">
        <f>(600*156)/1000000</f>
        <v>9.3600000000000003E-2</v>
      </c>
      <c r="G10" s="4">
        <v>0</v>
      </c>
      <c r="H10">
        <f t="shared" si="0"/>
        <v>0</v>
      </c>
    </row>
    <row r="11" spans="1:9">
      <c r="A11" s="4" t="s">
        <v>190</v>
      </c>
      <c r="B11" t="s">
        <v>82</v>
      </c>
      <c r="C11" s="4" t="s">
        <v>294</v>
      </c>
      <c r="D11">
        <v>4</v>
      </c>
      <c r="F11">
        <f>(662*50*4)/1000000</f>
        <v>0.13239999999999999</v>
      </c>
      <c r="G11" s="4">
        <v>0</v>
      </c>
      <c r="H11">
        <f t="shared" si="0"/>
        <v>0</v>
      </c>
    </row>
    <row r="12" spans="1:9">
      <c r="A12" s="4" t="s">
        <v>191</v>
      </c>
      <c r="B12" t="s">
        <v>82</v>
      </c>
      <c r="C12" s="4" t="s">
        <v>294</v>
      </c>
      <c r="D12">
        <v>4</v>
      </c>
      <c r="F12">
        <f>(402*50*4)/1000000</f>
        <v>8.0399999999999999E-2</v>
      </c>
      <c r="G12" s="4">
        <v>0</v>
      </c>
      <c r="H12">
        <f t="shared" si="0"/>
        <v>0</v>
      </c>
    </row>
    <row r="13" spans="1:9">
      <c r="A13" s="13" t="s">
        <v>252</v>
      </c>
      <c r="B13" t="s">
        <v>82</v>
      </c>
      <c r="C13" s="4" t="s">
        <v>294</v>
      </c>
      <c r="D13">
        <v>1</v>
      </c>
      <c r="F13">
        <f>(600*681)/1000000</f>
        <v>0.40860000000000002</v>
      </c>
      <c r="G13" s="4">
        <v>0</v>
      </c>
      <c r="H13">
        <f t="shared" si="0"/>
        <v>0</v>
      </c>
    </row>
    <row r="14" spans="1:9">
      <c r="A14" s="18" t="s">
        <v>14</v>
      </c>
      <c r="G14" s="4"/>
    </row>
    <row r="15" spans="1:9">
      <c r="A15" s="4" t="s">
        <v>247</v>
      </c>
      <c r="B15" t="s">
        <v>5</v>
      </c>
      <c r="C15" s="4" t="s">
        <v>294</v>
      </c>
      <c r="D15">
        <v>8</v>
      </c>
      <c r="F15">
        <f>(402*165*8)/1000000</f>
        <v>0.53064</v>
      </c>
      <c r="G15" s="4">
        <v>0</v>
      </c>
      <c r="H15">
        <f t="shared" si="0"/>
        <v>0</v>
      </c>
    </row>
    <row r="16" spans="1:9">
      <c r="A16" s="4" t="s">
        <v>192</v>
      </c>
      <c r="B16" t="s">
        <v>88</v>
      </c>
      <c r="C16" s="4" t="s">
        <v>294</v>
      </c>
      <c r="D16">
        <v>4</v>
      </c>
      <c r="F16">
        <f>(362*120*4)/1000000</f>
        <v>0.17376</v>
      </c>
      <c r="G16">
        <v>0</v>
      </c>
      <c r="H16">
        <f t="shared" si="0"/>
        <v>0</v>
      </c>
    </row>
    <row r="17" spans="1:8">
      <c r="A17" s="4" t="s">
        <v>193</v>
      </c>
      <c r="B17" t="s">
        <v>88</v>
      </c>
      <c r="C17" s="4" t="s">
        <v>294</v>
      </c>
      <c r="D17">
        <v>8</v>
      </c>
      <c r="F17">
        <f>(600*120*8)/1000000</f>
        <v>0.57599999999999996</v>
      </c>
      <c r="G17">
        <v>0</v>
      </c>
      <c r="H17">
        <f t="shared" si="0"/>
        <v>0</v>
      </c>
    </row>
    <row r="18" spans="1:8">
      <c r="A18" s="4" t="s">
        <v>194</v>
      </c>
      <c r="B18" t="s">
        <v>88</v>
      </c>
      <c r="C18" s="4" t="s">
        <v>294</v>
      </c>
      <c r="D18">
        <v>4</v>
      </c>
      <c r="F18">
        <f>(372*593*4)/1000000</f>
        <v>0.88238399999999995</v>
      </c>
      <c r="G18">
        <v>0</v>
      </c>
      <c r="H18">
        <f>G18*1.3*F18</f>
        <v>0</v>
      </c>
    </row>
    <row r="19" spans="1:8">
      <c r="A19" s="13" t="s">
        <v>84</v>
      </c>
      <c r="B19" s="4" t="s">
        <v>4</v>
      </c>
      <c r="C19" t="s">
        <v>4</v>
      </c>
      <c r="D19">
        <v>8</v>
      </c>
      <c r="G19">
        <v>0</v>
      </c>
      <c r="H19">
        <f>G19*D19</f>
        <v>0</v>
      </c>
    </row>
    <row r="20" spans="1:8" s="15" customFormat="1">
      <c r="A20" s="37" t="s">
        <v>106</v>
      </c>
      <c r="B20" s="37" t="s">
        <v>4</v>
      </c>
      <c r="C20" s="15" t="s">
        <v>4</v>
      </c>
      <c r="D20" s="15">
        <v>2</v>
      </c>
      <c r="G20" s="15">
        <v>0</v>
      </c>
      <c r="H20">
        <f t="shared" ref="H20:H28" si="1">G20*D20</f>
        <v>0</v>
      </c>
    </row>
    <row r="21" spans="1:8">
      <c r="A21" s="4" t="s">
        <v>21</v>
      </c>
      <c r="B21" t="s">
        <v>102</v>
      </c>
      <c r="C21" t="s">
        <v>101</v>
      </c>
      <c r="D21">
        <v>1</v>
      </c>
      <c r="G21">
        <v>0</v>
      </c>
      <c r="H21">
        <f t="shared" si="1"/>
        <v>0</v>
      </c>
    </row>
    <row r="22" spans="1:8">
      <c r="A22" s="4" t="s">
        <v>99</v>
      </c>
      <c r="B22" t="s">
        <v>98</v>
      </c>
      <c r="D22">
        <v>1</v>
      </c>
      <c r="G22">
        <v>0</v>
      </c>
      <c r="H22">
        <f t="shared" si="1"/>
        <v>0</v>
      </c>
    </row>
    <row r="23" spans="1:8">
      <c r="A23" s="4" t="s">
        <v>95</v>
      </c>
      <c r="B23" t="s">
        <v>105</v>
      </c>
      <c r="C23" t="s">
        <v>104</v>
      </c>
      <c r="D23">
        <v>2</v>
      </c>
      <c r="G23">
        <v>0</v>
      </c>
      <c r="H23">
        <f t="shared" si="1"/>
        <v>0</v>
      </c>
    </row>
    <row r="24" spans="1:8">
      <c r="A24" s="4" t="s">
        <v>103</v>
      </c>
      <c r="B24" t="s">
        <v>102</v>
      </c>
      <c r="D24">
        <v>4</v>
      </c>
      <c r="G24">
        <v>0</v>
      </c>
      <c r="H24">
        <f t="shared" si="1"/>
        <v>0</v>
      </c>
    </row>
    <row r="25" spans="1:8">
      <c r="A25" s="4" t="s">
        <v>97</v>
      </c>
      <c r="B25" t="s">
        <v>4</v>
      </c>
      <c r="C25" t="s">
        <v>4</v>
      </c>
      <c r="D25">
        <v>1</v>
      </c>
      <c r="G25">
        <v>0</v>
      </c>
      <c r="H25">
        <f t="shared" si="1"/>
        <v>0</v>
      </c>
    </row>
    <row r="26" spans="1:8">
      <c r="A26" s="4"/>
      <c r="H26">
        <f t="shared" si="1"/>
        <v>0</v>
      </c>
    </row>
    <row r="27" spans="1:8">
      <c r="A27" s="4" t="s">
        <v>109</v>
      </c>
      <c r="B27" t="s">
        <v>98</v>
      </c>
      <c r="C27" t="s">
        <v>98</v>
      </c>
      <c r="D27">
        <v>8</v>
      </c>
      <c r="G27">
        <v>0</v>
      </c>
      <c r="H27">
        <f t="shared" si="1"/>
        <v>0</v>
      </c>
    </row>
    <row r="28" spans="1:8">
      <c r="A28" s="4" t="s">
        <v>108</v>
      </c>
      <c r="B28" t="s">
        <v>107</v>
      </c>
      <c r="C28" t="s">
        <v>107</v>
      </c>
      <c r="D28">
        <v>8</v>
      </c>
      <c r="G28">
        <v>0</v>
      </c>
      <c r="H28">
        <f t="shared" si="1"/>
        <v>0</v>
      </c>
    </row>
    <row r="29" spans="1:8">
      <c r="A29" s="4" t="s">
        <v>110</v>
      </c>
      <c r="B29" t="s">
        <v>87</v>
      </c>
      <c r="C29" t="s">
        <v>111</v>
      </c>
      <c r="H29">
        <v>100</v>
      </c>
    </row>
    <row r="30" spans="1:8">
      <c r="A30" s="4"/>
    </row>
    <row r="31" spans="1:8">
      <c r="A31" t="s">
        <v>211</v>
      </c>
      <c r="H31">
        <f>SUM(H7:H29)</f>
        <v>100</v>
      </c>
    </row>
    <row r="32" spans="1:8">
      <c r="A32" s="4" t="s">
        <v>223</v>
      </c>
      <c r="H32">
        <f>H31*1.6</f>
        <v>160</v>
      </c>
    </row>
    <row r="33" spans="1:8">
      <c r="A33" s="4" t="s">
        <v>222</v>
      </c>
      <c r="G33">
        <v>0</v>
      </c>
      <c r="H33">
        <f>G33*F33</f>
        <v>0</v>
      </c>
    </row>
    <row r="34" spans="1:8">
      <c r="A34" s="4"/>
    </row>
    <row r="35" spans="1:8" s="16" customFormat="1">
      <c r="A35" s="1" t="s">
        <v>205</v>
      </c>
      <c r="H35" s="16">
        <f>SUM(H32:H33)</f>
        <v>160</v>
      </c>
    </row>
    <row r="39" spans="1:8">
      <c r="A39" s="17"/>
    </row>
  </sheetData>
  <phoneticPr fontId="6" type="noConversion"/>
  <pageMargins left="0.7" right="0.7" top="0.78740157499999996" bottom="0.78740157499999996" header="0.3" footer="0.3"/>
  <pageSetup paperSize="8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5"/>
  <sheetViews>
    <sheetView topLeftCell="A10" workbookViewId="0">
      <selection activeCell="G24" sqref="G24"/>
    </sheetView>
  </sheetViews>
  <sheetFormatPr defaultRowHeight="12.75"/>
  <cols>
    <col min="1" max="1" width="53.5703125" customWidth="1"/>
    <col min="2" max="2" width="21.28515625" customWidth="1"/>
    <col min="3" max="3" width="29" customWidth="1"/>
    <col min="4" max="4" width="7.140625" customWidth="1"/>
    <col min="5" max="5" width="8.85546875" customWidth="1"/>
    <col min="6" max="6" width="17.7109375" customWidth="1"/>
    <col min="7" max="7" width="16.5703125" customWidth="1"/>
    <col min="9" max="9" width="19.140625" customWidth="1"/>
  </cols>
  <sheetData>
    <row r="1" spans="1:9" ht="23.25">
      <c r="A1" s="7" t="s">
        <v>78</v>
      </c>
      <c r="B1" s="7"/>
      <c r="C1" s="7"/>
      <c r="D1" s="7"/>
      <c r="E1" s="7"/>
      <c r="F1" s="7"/>
      <c r="G1" s="7"/>
      <c r="H1" s="7"/>
    </row>
    <row r="2" spans="1:9" s="16" customFormat="1" ht="23.25">
      <c r="A2" s="22" t="s">
        <v>79</v>
      </c>
    </row>
    <row r="3" spans="1:9">
      <c r="A3" t="s">
        <v>155</v>
      </c>
      <c r="B3">
        <v>1</v>
      </c>
      <c r="C3" t="s">
        <v>228</v>
      </c>
    </row>
    <row r="4" spans="1:9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  <c r="I4" s="1" t="s">
        <v>83</v>
      </c>
    </row>
    <row r="5" spans="1:9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9">
      <c r="A6" s="13" t="s">
        <v>196</v>
      </c>
      <c r="B6" t="s">
        <v>82</v>
      </c>
      <c r="C6" s="4" t="s">
        <v>294</v>
      </c>
      <c r="D6">
        <v>2</v>
      </c>
      <c r="F6">
        <f>(320*2*1620)/1000000</f>
        <v>1.0367999999999999</v>
      </c>
      <c r="G6" s="4">
        <v>0</v>
      </c>
      <c r="H6">
        <f>1.3*G6*F6</f>
        <v>0</v>
      </c>
      <c r="I6" t="s">
        <v>195</v>
      </c>
    </row>
    <row r="7" spans="1:9">
      <c r="A7" t="s">
        <v>197</v>
      </c>
      <c r="B7" t="s">
        <v>5</v>
      </c>
      <c r="C7" s="4" t="s">
        <v>294</v>
      </c>
      <c r="D7" s="13">
        <v>4</v>
      </c>
      <c r="E7" s="13">
        <f>(40*40*4*1700)/1000000000</f>
        <v>1.0880000000000001E-2</v>
      </c>
      <c r="F7" s="13"/>
      <c r="G7" s="4">
        <v>0</v>
      </c>
      <c r="H7">
        <f>1.3*G7*E7</f>
        <v>0</v>
      </c>
    </row>
    <row r="8" spans="1:9">
      <c r="A8" t="s">
        <v>198</v>
      </c>
      <c r="B8" t="s">
        <v>5</v>
      </c>
      <c r="C8" s="4" t="s">
        <v>294</v>
      </c>
      <c r="D8" s="13">
        <v>4</v>
      </c>
      <c r="E8" s="13">
        <f>(40*40*4*320)/1000000000</f>
        <v>2.0479999999999999E-3</v>
      </c>
      <c r="F8" s="13"/>
      <c r="G8" s="4">
        <v>0</v>
      </c>
      <c r="H8">
        <f>1.3*G8*E8</f>
        <v>0</v>
      </c>
      <c r="I8" t="s">
        <v>195</v>
      </c>
    </row>
    <row r="9" spans="1:9">
      <c r="A9" s="13" t="s">
        <v>199</v>
      </c>
      <c r="B9" t="s">
        <v>82</v>
      </c>
      <c r="C9" s="4" t="s">
        <v>294</v>
      </c>
      <c r="D9" s="13">
        <v>2</v>
      </c>
      <c r="E9" s="13"/>
      <c r="F9" s="13">
        <f>(1120*320*2)/1000000</f>
        <v>0.71679999999999999</v>
      </c>
      <c r="G9" s="4">
        <v>0</v>
      </c>
      <c r="H9">
        <f>1.3*G9*F9</f>
        <v>0</v>
      </c>
    </row>
    <row r="10" spans="1:9">
      <c r="A10" s="13" t="s">
        <v>200</v>
      </c>
      <c r="B10" t="s">
        <v>5</v>
      </c>
      <c r="C10" s="4" t="s">
        <v>294</v>
      </c>
      <c r="D10" s="13">
        <v>4</v>
      </c>
      <c r="E10" s="13">
        <f>(40*40*4*1120)/1000000000</f>
        <v>7.1679999999999999E-3</v>
      </c>
      <c r="F10" s="13"/>
      <c r="G10" s="4">
        <v>0</v>
      </c>
      <c r="H10">
        <f>1.3*G10*E10</f>
        <v>0</v>
      </c>
    </row>
    <row r="11" spans="1:9">
      <c r="A11" t="s">
        <v>92</v>
      </c>
      <c r="B11" s="4" t="s">
        <v>5</v>
      </c>
      <c r="C11" s="4" t="s">
        <v>297</v>
      </c>
      <c r="D11">
        <v>1</v>
      </c>
      <c r="E11">
        <f>(21*80*1120)/1000000000</f>
        <v>1.8816E-3</v>
      </c>
      <c r="G11" s="4">
        <v>0</v>
      </c>
      <c r="H11">
        <f>1.3*G11*E11</f>
        <v>0</v>
      </c>
      <c r="I11" t="s">
        <v>195</v>
      </c>
    </row>
    <row r="12" spans="1:9">
      <c r="A12" t="s">
        <v>89</v>
      </c>
      <c r="B12" s="4" t="s">
        <v>253</v>
      </c>
      <c r="C12" s="4" t="s">
        <v>297</v>
      </c>
      <c r="D12">
        <v>1</v>
      </c>
      <c r="E12">
        <f>(80*101*1120)/1000000000</f>
        <v>9.0495999999999997E-3</v>
      </c>
      <c r="G12" s="4">
        <v>0</v>
      </c>
      <c r="H12">
        <f>1.3*G12*E12</f>
        <v>0</v>
      </c>
      <c r="I12" t="s">
        <v>195</v>
      </c>
    </row>
    <row r="13" spans="1:9">
      <c r="A13" s="13" t="s">
        <v>202</v>
      </c>
      <c r="B13" t="s">
        <v>5</v>
      </c>
      <c r="C13" s="4" t="s">
        <v>294</v>
      </c>
      <c r="D13" s="13">
        <v>4</v>
      </c>
      <c r="E13" s="13">
        <f>(480*40*19*4)/1000000000</f>
        <v>1.4591999999999999E-3</v>
      </c>
      <c r="F13" s="13"/>
      <c r="G13" s="4">
        <v>0</v>
      </c>
      <c r="H13">
        <f>1.3*G13*E13</f>
        <v>0</v>
      </c>
    </row>
    <row r="14" spans="1:9">
      <c r="A14" s="13" t="s">
        <v>201</v>
      </c>
      <c r="B14" t="s">
        <v>5</v>
      </c>
      <c r="C14" s="4" t="s">
        <v>294</v>
      </c>
      <c r="D14" s="13">
        <v>4</v>
      </c>
      <c r="E14" s="13">
        <f>(40*19*4*1620)/1000000000</f>
        <v>4.9248E-3</v>
      </c>
      <c r="F14" s="13"/>
      <c r="G14" s="4">
        <v>0</v>
      </c>
      <c r="H14">
        <f>1.3*G14*E14</f>
        <v>0</v>
      </c>
    </row>
    <row r="15" spans="1:9">
      <c r="A15" t="s">
        <v>203</v>
      </c>
      <c r="B15" t="s">
        <v>5</v>
      </c>
      <c r="C15" s="4" t="s">
        <v>294</v>
      </c>
      <c r="D15">
        <v>2</v>
      </c>
      <c r="F15">
        <f>(1540*480*2)/1000000</f>
        <v>1.4783999999999999</v>
      </c>
      <c r="G15" s="4">
        <v>0</v>
      </c>
      <c r="H15">
        <f>1.3*G15*F15</f>
        <v>0</v>
      </c>
    </row>
    <row r="16" spans="1:9">
      <c r="A16" s="13" t="s">
        <v>204</v>
      </c>
      <c r="B16" t="s">
        <v>82</v>
      </c>
      <c r="C16" s="4" t="s">
        <v>294</v>
      </c>
      <c r="D16">
        <v>1</v>
      </c>
      <c r="F16">
        <f>(1120*1620)/1000000</f>
        <v>1.8144</v>
      </c>
      <c r="G16" s="4">
        <v>0</v>
      </c>
      <c r="H16">
        <f>1.3*G16*F16</f>
        <v>0</v>
      </c>
    </row>
    <row r="17" spans="1:8">
      <c r="A17" s="13" t="s">
        <v>84</v>
      </c>
      <c r="B17" s="4" t="s">
        <v>4</v>
      </c>
      <c r="C17" t="s">
        <v>4</v>
      </c>
      <c r="D17">
        <v>2</v>
      </c>
      <c r="G17">
        <v>0</v>
      </c>
      <c r="H17">
        <f>G17*D17</f>
        <v>0</v>
      </c>
    </row>
    <row r="18" spans="1:8">
      <c r="A18" s="13" t="s">
        <v>90</v>
      </c>
      <c r="B18" s="4" t="s">
        <v>85</v>
      </c>
      <c r="C18" s="4" t="s">
        <v>85</v>
      </c>
      <c r="D18">
        <v>3</v>
      </c>
      <c r="G18">
        <v>0</v>
      </c>
      <c r="H18">
        <f t="shared" ref="H18:H23" si="0">G18*D18</f>
        <v>0</v>
      </c>
    </row>
    <row r="19" spans="1:8">
      <c r="A19" s="13" t="s">
        <v>91</v>
      </c>
      <c r="B19" s="4" t="s">
        <v>85</v>
      </c>
      <c r="C19" s="4" t="s">
        <v>85</v>
      </c>
      <c r="D19">
        <v>3</v>
      </c>
      <c r="G19">
        <v>0</v>
      </c>
      <c r="H19">
        <f t="shared" si="0"/>
        <v>0</v>
      </c>
    </row>
    <row r="20" spans="1:8">
      <c r="A20" s="13" t="s">
        <v>93</v>
      </c>
      <c r="B20" s="4" t="s">
        <v>4</v>
      </c>
      <c r="C20" s="4" t="s">
        <v>4</v>
      </c>
      <c r="D20">
        <v>4</v>
      </c>
      <c r="G20">
        <v>0</v>
      </c>
      <c r="H20">
        <f t="shared" si="0"/>
        <v>0</v>
      </c>
    </row>
    <row r="21" spans="1:8">
      <c r="A21" s="13" t="s">
        <v>86</v>
      </c>
      <c r="B21" s="4" t="s">
        <v>8</v>
      </c>
      <c r="C21" s="4" t="s">
        <v>8</v>
      </c>
      <c r="D21">
        <v>4</v>
      </c>
      <c r="G21">
        <v>0</v>
      </c>
      <c r="H21">
        <f t="shared" si="0"/>
        <v>0</v>
      </c>
    </row>
    <row r="22" spans="1:8">
      <c r="A22" s="13" t="s">
        <v>94</v>
      </c>
      <c r="B22" t="s">
        <v>8</v>
      </c>
      <c r="C22" t="s">
        <v>8</v>
      </c>
      <c r="D22">
        <v>4</v>
      </c>
      <c r="G22">
        <v>0</v>
      </c>
      <c r="H22">
        <f t="shared" si="0"/>
        <v>0</v>
      </c>
    </row>
    <row r="23" spans="1:8">
      <c r="A23" s="13" t="s">
        <v>167</v>
      </c>
      <c r="B23" s="4" t="s">
        <v>98</v>
      </c>
      <c r="C23" t="s">
        <v>98</v>
      </c>
      <c r="D23">
        <v>2</v>
      </c>
      <c r="G23">
        <v>0</v>
      </c>
      <c r="H23">
        <f t="shared" si="0"/>
        <v>0</v>
      </c>
    </row>
    <row r="25" spans="1:8">
      <c r="A25" t="s">
        <v>211</v>
      </c>
      <c r="H25">
        <f>SUM(H6:H23)</f>
        <v>0</v>
      </c>
    </row>
    <row r="26" spans="1:8">
      <c r="A26" s="4" t="s">
        <v>223</v>
      </c>
      <c r="H26">
        <f>H25*1.6</f>
        <v>0</v>
      </c>
    </row>
    <row r="27" spans="1:8">
      <c r="A27" s="4" t="s">
        <v>222</v>
      </c>
      <c r="F27">
        <v>0</v>
      </c>
      <c r="G27">
        <v>0</v>
      </c>
      <c r="H27">
        <f>G27*F27</f>
        <v>0</v>
      </c>
    </row>
    <row r="28" spans="1:8">
      <c r="A28" s="4"/>
    </row>
    <row r="29" spans="1:8">
      <c r="A29" s="4" t="s">
        <v>298</v>
      </c>
      <c r="F29">
        <v>0</v>
      </c>
      <c r="G29">
        <v>0</v>
      </c>
      <c r="H29">
        <f>G29*F29</f>
        <v>0</v>
      </c>
    </row>
    <row r="30" spans="1:8">
      <c r="A30" s="4"/>
    </row>
    <row r="31" spans="1:8" s="16" customFormat="1">
      <c r="A31" s="1" t="s">
        <v>205</v>
      </c>
      <c r="H31" s="16">
        <f>SUM(H26:H30)</f>
        <v>0</v>
      </c>
    </row>
    <row r="35" spans="1:1">
      <c r="A35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F12" sqref="F12"/>
    </sheetView>
  </sheetViews>
  <sheetFormatPr defaultRowHeight="12.75"/>
  <cols>
    <col min="1" max="1" width="20.7109375" customWidth="1"/>
    <col min="2" max="2" width="13.140625" customWidth="1"/>
    <col min="3" max="3" width="18.5703125" customWidth="1"/>
    <col min="5" max="5" width="17.140625" customWidth="1"/>
    <col min="6" max="6" width="12.140625" customWidth="1"/>
    <col min="7" max="7" width="10.85546875" customWidth="1"/>
  </cols>
  <sheetData>
    <row r="1" spans="1:7" ht="23.25">
      <c r="A1" s="7" t="s">
        <v>254</v>
      </c>
      <c r="B1" s="7"/>
      <c r="C1" s="7"/>
      <c r="D1" s="7"/>
      <c r="E1" s="7"/>
      <c r="F1" s="7"/>
    </row>
    <row r="2" spans="1:7" s="16" customFormat="1" ht="23.25">
      <c r="A2" s="10" t="s">
        <v>65</v>
      </c>
    </row>
    <row r="4" spans="1:7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218</v>
      </c>
      <c r="F4" s="1" t="s">
        <v>0</v>
      </c>
      <c r="G4" s="1" t="s">
        <v>83</v>
      </c>
    </row>
    <row r="5" spans="1:7" s="16" customFormat="1">
      <c r="E5" s="1" t="s">
        <v>255</v>
      </c>
      <c r="F5" s="1" t="s">
        <v>217</v>
      </c>
    </row>
    <row r="6" spans="1:7">
      <c r="A6" s="13" t="s">
        <v>258</v>
      </c>
      <c r="B6" s="4" t="s">
        <v>257</v>
      </c>
      <c r="C6" s="4" t="s">
        <v>256</v>
      </c>
      <c r="D6">
        <v>36</v>
      </c>
      <c r="E6" s="4">
        <v>0</v>
      </c>
      <c r="F6">
        <f>E6*D6</f>
        <v>0</v>
      </c>
    </row>
    <row r="7" spans="1:7">
      <c r="A7" s="4" t="s">
        <v>259</v>
      </c>
      <c r="D7" s="13">
        <v>100</v>
      </c>
      <c r="E7" s="4">
        <v>0</v>
      </c>
      <c r="F7">
        <f t="shared" ref="F7:F12" si="0">E7*D7</f>
        <v>0</v>
      </c>
    </row>
    <row r="8" spans="1:7">
      <c r="A8" s="4" t="s">
        <v>260</v>
      </c>
      <c r="D8" s="13">
        <v>100</v>
      </c>
      <c r="E8" s="4">
        <v>0</v>
      </c>
      <c r="F8">
        <f t="shared" si="0"/>
        <v>0</v>
      </c>
    </row>
    <row r="9" spans="1:7">
      <c r="A9" s="13" t="s">
        <v>261</v>
      </c>
      <c r="D9" s="13">
        <v>100</v>
      </c>
      <c r="E9" s="4">
        <v>0</v>
      </c>
      <c r="F9">
        <f t="shared" si="0"/>
        <v>0</v>
      </c>
    </row>
    <row r="10" spans="1:7">
      <c r="A10" s="12" t="s">
        <v>262</v>
      </c>
      <c r="B10" s="34" t="s">
        <v>264</v>
      </c>
      <c r="C10" s="8"/>
      <c r="D10" s="13">
        <v>100</v>
      </c>
      <c r="E10" s="4">
        <v>0</v>
      </c>
      <c r="F10">
        <f t="shared" si="0"/>
        <v>0</v>
      </c>
    </row>
    <row r="11" spans="1:7">
      <c r="A11" s="13" t="s">
        <v>267</v>
      </c>
      <c r="B11" s="4"/>
      <c r="C11" s="4"/>
      <c r="D11" s="13">
        <v>100</v>
      </c>
      <c r="E11" s="4">
        <v>0</v>
      </c>
      <c r="F11">
        <f t="shared" si="0"/>
        <v>0</v>
      </c>
    </row>
    <row r="12" spans="1:7">
      <c r="A12" s="13" t="s">
        <v>263</v>
      </c>
      <c r="B12" s="4" t="s">
        <v>265</v>
      </c>
      <c r="C12" s="4" t="s">
        <v>256</v>
      </c>
      <c r="D12" s="13">
        <v>2</v>
      </c>
      <c r="E12" s="4">
        <v>0</v>
      </c>
      <c r="F12">
        <f t="shared" si="0"/>
        <v>0</v>
      </c>
      <c r="G12" s="4" t="s">
        <v>266</v>
      </c>
    </row>
    <row r="13" spans="1:7">
      <c r="A13" s="4"/>
    </row>
    <row r="14" spans="1:7">
      <c r="A14" s="4"/>
    </row>
    <row r="15" spans="1:7" s="16" customFormat="1">
      <c r="A15" s="1" t="s">
        <v>205</v>
      </c>
      <c r="F15" s="16">
        <f>SUM(F6:F14)</f>
        <v>0</v>
      </c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3" workbookViewId="0">
      <selection activeCell="F29" sqref="F29"/>
    </sheetView>
  </sheetViews>
  <sheetFormatPr defaultRowHeight="12.75"/>
  <cols>
    <col min="1" max="1" width="56.7109375" customWidth="1"/>
    <col min="2" max="2" width="21.28515625" customWidth="1"/>
    <col min="3" max="3" width="29" customWidth="1"/>
    <col min="4" max="4" width="6.42578125" customWidth="1"/>
    <col min="5" max="5" width="11.28515625" customWidth="1"/>
    <col min="6" max="6" width="16.7109375" customWidth="1"/>
    <col min="7" max="7" width="16.5703125" customWidth="1"/>
    <col min="9" max="9" width="11.140625" customWidth="1"/>
  </cols>
  <sheetData>
    <row r="1" spans="1:9" ht="23.25">
      <c r="A1" s="7" t="s">
        <v>276</v>
      </c>
      <c r="B1" s="7"/>
      <c r="C1" s="7"/>
      <c r="D1" s="7"/>
      <c r="E1" s="7"/>
      <c r="F1" s="7"/>
      <c r="G1" s="7"/>
      <c r="H1" s="7"/>
    </row>
    <row r="2" spans="1:9" s="16" customFormat="1" ht="23.25">
      <c r="A2" s="22" t="s">
        <v>275</v>
      </c>
    </row>
    <row r="3" spans="1:9">
      <c r="A3" t="s">
        <v>155</v>
      </c>
      <c r="B3">
        <v>1</v>
      </c>
      <c r="C3" t="s">
        <v>228</v>
      </c>
    </row>
    <row r="4" spans="1:9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  <c r="I4" s="1" t="s">
        <v>83</v>
      </c>
    </row>
    <row r="5" spans="1:9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9" s="15" customFormat="1">
      <c r="A6" s="18" t="s">
        <v>246</v>
      </c>
      <c r="E6" s="18"/>
      <c r="F6" s="18"/>
      <c r="G6" s="18"/>
      <c r="H6" s="18"/>
    </row>
    <row r="7" spans="1:9">
      <c r="A7" s="4" t="s">
        <v>277</v>
      </c>
      <c r="B7" s="4" t="s">
        <v>274</v>
      </c>
      <c r="C7" t="s">
        <v>274</v>
      </c>
      <c r="D7">
        <v>1</v>
      </c>
      <c r="F7">
        <f>(1480*700)/1000000</f>
        <v>1.036</v>
      </c>
      <c r="G7" s="4">
        <v>0</v>
      </c>
      <c r="H7">
        <f>G7*1.3*F7</f>
        <v>0</v>
      </c>
    </row>
    <row r="8" spans="1:9">
      <c r="A8" s="13" t="s">
        <v>278</v>
      </c>
      <c r="B8" s="4" t="s">
        <v>274</v>
      </c>
      <c r="C8" t="s">
        <v>274</v>
      </c>
      <c r="D8">
        <v>4</v>
      </c>
      <c r="F8">
        <f>(4*700*681)/1000000</f>
        <v>1.9068000000000001</v>
      </c>
      <c r="G8" s="4">
        <v>0</v>
      </c>
      <c r="H8">
        <f t="shared" ref="H8:H17" si="0">G8*1.3*F8</f>
        <v>0</v>
      </c>
    </row>
    <row r="9" spans="1:9">
      <c r="A9" s="13" t="s">
        <v>279</v>
      </c>
      <c r="B9" s="4" t="s">
        <v>274</v>
      </c>
      <c r="C9" t="s">
        <v>274</v>
      </c>
      <c r="D9" s="4">
        <v>2</v>
      </c>
      <c r="E9" s="4"/>
      <c r="F9" s="4">
        <f>(700*442*2)/1000000</f>
        <v>0.61880000000000002</v>
      </c>
      <c r="G9" s="4">
        <v>0</v>
      </c>
      <c r="H9">
        <f t="shared" si="0"/>
        <v>0</v>
      </c>
    </row>
    <row r="10" spans="1:9">
      <c r="A10" s="13" t="s">
        <v>280</v>
      </c>
      <c r="B10" s="4" t="s">
        <v>274</v>
      </c>
      <c r="C10" t="s">
        <v>274</v>
      </c>
      <c r="D10" s="4">
        <v>1</v>
      </c>
      <c r="E10" s="4"/>
      <c r="F10" s="4">
        <f>(600*156)/1000000</f>
        <v>9.3600000000000003E-2</v>
      </c>
      <c r="G10" s="4">
        <v>0</v>
      </c>
      <c r="H10">
        <f t="shared" si="0"/>
        <v>0</v>
      </c>
    </row>
    <row r="11" spans="1:9">
      <c r="A11" s="4" t="s">
        <v>281</v>
      </c>
      <c r="B11" s="4" t="s">
        <v>274</v>
      </c>
      <c r="C11" t="s">
        <v>274</v>
      </c>
      <c r="D11">
        <v>4</v>
      </c>
      <c r="F11">
        <f>(662*50*4)/1000000</f>
        <v>0.13239999999999999</v>
      </c>
      <c r="G11" s="4">
        <v>0</v>
      </c>
      <c r="H11">
        <f t="shared" si="0"/>
        <v>0</v>
      </c>
    </row>
    <row r="12" spans="1:9">
      <c r="A12" s="4" t="s">
        <v>282</v>
      </c>
      <c r="B12" s="4" t="s">
        <v>274</v>
      </c>
      <c r="C12" t="s">
        <v>274</v>
      </c>
      <c r="D12">
        <v>4</v>
      </c>
      <c r="F12">
        <f>(402*50*4)/1000000</f>
        <v>8.0399999999999999E-2</v>
      </c>
      <c r="G12" s="4">
        <v>0</v>
      </c>
      <c r="H12">
        <f t="shared" si="0"/>
        <v>0</v>
      </c>
    </row>
    <row r="13" spans="1:9">
      <c r="A13" s="13" t="s">
        <v>285</v>
      </c>
      <c r="B13" s="4" t="s">
        <v>274</v>
      </c>
      <c r="C13" t="s">
        <v>274</v>
      </c>
      <c r="D13">
        <v>1</v>
      </c>
      <c r="F13">
        <f>(600*681)/1000000</f>
        <v>0.40860000000000002</v>
      </c>
      <c r="G13" s="4">
        <v>0</v>
      </c>
      <c r="H13">
        <f t="shared" si="0"/>
        <v>0</v>
      </c>
    </row>
    <row r="14" spans="1:9">
      <c r="A14" s="18" t="s">
        <v>14</v>
      </c>
      <c r="B14" s="4"/>
      <c r="G14" s="4"/>
    </row>
    <row r="15" spans="1:9">
      <c r="A15" s="4" t="s">
        <v>289</v>
      </c>
      <c r="B15" s="4" t="s">
        <v>274</v>
      </c>
      <c r="C15" t="s">
        <v>274</v>
      </c>
      <c r="D15">
        <v>8</v>
      </c>
      <c r="F15">
        <f>(402*165*8)/1000000</f>
        <v>0.53064</v>
      </c>
      <c r="G15" s="4">
        <v>0</v>
      </c>
      <c r="H15">
        <f t="shared" si="0"/>
        <v>0</v>
      </c>
    </row>
    <row r="16" spans="1:9">
      <c r="A16" s="4" t="s">
        <v>290</v>
      </c>
      <c r="B16" s="4" t="s">
        <v>274</v>
      </c>
      <c r="C16" t="s">
        <v>206</v>
      </c>
      <c r="D16">
        <v>4</v>
      </c>
      <c r="F16">
        <f>(362*120*4)/1000000</f>
        <v>0.17376</v>
      </c>
      <c r="G16">
        <v>0</v>
      </c>
      <c r="H16">
        <f t="shared" si="0"/>
        <v>0</v>
      </c>
    </row>
    <row r="17" spans="1:8">
      <c r="A17" s="4" t="s">
        <v>291</v>
      </c>
      <c r="B17" s="4" t="s">
        <v>274</v>
      </c>
      <c r="C17" t="s">
        <v>206</v>
      </c>
      <c r="D17">
        <v>8</v>
      </c>
      <c r="F17">
        <f>(600*120*8)/1000000</f>
        <v>0.57599999999999996</v>
      </c>
      <c r="G17">
        <v>0</v>
      </c>
      <c r="H17">
        <f t="shared" si="0"/>
        <v>0</v>
      </c>
    </row>
    <row r="18" spans="1:8">
      <c r="A18" s="4" t="s">
        <v>194</v>
      </c>
      <c r="B18" t="s">
        <v>88</v>
      </c>
      <c r="C18" t="s">
        <v>206</v>
      </c>
      <c r="D18">
        <v>4</v>
      </c>
      <c r="F18">
        <f>(372*593*4)/1000000</f>
        <v>0.88238399999999995</v>
      </c>
      <c r="G18">
        <v>0</v>
      </c>
      <c r="H18">
        <f>G18*1.3*F18</f>
        <v>0</v>
      </c>
    </row>
    <row r="19" spans="1:8">
      <c r="A19" s="13" t="s">
        <v>84</v>
      </c>
      <c r="B19" s="4" t="s">
        <v>98</v>
      </c>
      <c r="C19" t="s">
        <v>98</v>
      </c>
      <c r="D19">
        <v>8</v>
      </c>
      <c r="G19">
        <v>0</v>
      </c>
      <c r="H19">
        <f>G19*D19</f>
        <v>0</v>
      </c>
    </row>
    <row r="20" spans="1:8" s="15" customFormat="1">
      <c r="A20" s="37" t="s">
        <v>106</v>
      </c>
      <c r="B20" s="4" t="s">
        <v>98</v>
      </c>
      <c r="C20" t="s">
        <v>98</v>
      </c>
      <c r="D20" s="15">
        <v>2</v>
      </c>
      <c r="G20" s="15">
        <v>0</v>
      </c>
      <c r="H20">
        <f t="shared" ref="H20:H29" si="1">G20*D20</f>
        <v>0</v>
      </c>
    </row>
    <row r="21" spans="1:8">
      <c r="A21" s="4" t="s">
        <v>21</v>
      </c>
      <c r="B21" s="4" t="s">
        <v>98</v>
      </c>
      <c r="C21" t="s">
        <v>98</v>
      </c>
      <c r="D21">
        <v>1</v>
      </c>
      <c r="G21">
        <v>0</v>
      </c>
      <c r="H21">
        <f t="shared" si="1"/>
        <v>0</v>
      </c>
    </row>
    <row r="22" spans="1:8">
      <c r="A22" s="4" t="s">
        <v>99</v>
      </c>
      <c r="B22" s="4" t="s">
        <v>98</v>
      </c>
      <c r="C22" t="s">
        <v>98</v>
      </c>
      <c r="D22">
        <v>1</v>
      </c>
      <c r="G22">
        <v>0</v>
      </c>
      <c r="H22">
        <f t="shared" si="1"/>
        <v>0</v>
      </c>
    </row>
    <row r="23" spans="1:8">
      <c r="A23" s="4" t="s">
        <v>95</v>
      </c>
      <c r="B23" s="4" t="s">
        <v>98</v>
      </c>
      <c r="C23" t="s">
        <v>98</v>
      </c>
      <c r="D23">
        <v>2</v>
      </c>
      <c r="G23">
        <v>0</v>
      </c>
      <c r="H23">
        <f t="shared" si="1"/>
        <v>0</v>
      </c>
    </row>
    <row r="24" spans="1:8">
      <c r="A24" s="4" t="s">
        <v>103</v>
      </c>
      <c r="B24" s="4" t="s">
        <v>98</v>
      </c>
      <c r="C24" t="s">
        <v>98</v>
      </c>
      <c r="D24">
        <v>4</v>
      </c>
      <c r="G24">
        <v>0</v>
      </c>
      <c r="H24">
        <f t="shared" si="1"/>
        <v>0</v>
      </c>
    </row>
    <row r="25" spans="1:8">
      <c r="A25" s="4" t="s">
        <v>97</v>
      </c>
      <c r="B25" s="4" t="s">
        <v>98</v>
      </c>
      <c r="C25" t="s">
        <v>98</v>
      </c>
      <c r="D25">
        <v>1</v>
      </c>
      <c r="G25">
        <v>0</v>
      </c>
      <c r="H25">
        <f t="shared" si="1"/>
        <v>0</v>
      </c>
    </row>
    <row r="26" spans="1:8">
      <c r="A26" s="4"/>
      <c r="H26">
        <f t="shared" si="1"/>
        <v>0</v>
      </c>
    </row>
    <row r="27" spans="1:8">
      <c r="A27" s="4" t="s">
        <v>109</v>
      </c>
      <c r="B27" t="s">
        <v>98</v>
      </c>
      <c r="C27" t="s">
        <v>98</v>
      </c>
      <c r="D27">
        <v>8</v>
      </c>
      <c r="G27">
        <v>0</v>
      </c>
      <c r="H27">
        <f t="shared" si="1"/>
        <v>0</v>
      </c>
    </row>
    <row r="28" spans="1:8">
      <c r="A28" s="4" t="s">
        <v>108</v>
      </c>
      <c r="B28" t="s">
        <v>107</v>
      </c>
      <c r="C28" t="s">
        <v>107</v>
      </c>
      <c r="D28">
        <v>8</v>
      </c>
      <c r="G28">
        <v>0</v>
      </c>
      <c r="H28">
        <f t="shared" si="1"/>
        <v>0</v>
      </c>
    </row>
    <row r="29" spans="1:8">
      <c r="A29" s="4" t="s">
        <v>110</v>
      </c>
      <c r="B29" t="s">
        <v>87</v>
      </c>
      <c r="C29" t="s">
        <v>292</v>
      </c>
      <c r="H29">
        <f t="shared" si="1"/>
        <v>0</v>
      </c>
    </row>
    <row r="30" spans="1:8">
      <c r="A30" s="4"/>
    </row>
    <row r="31" spans="1:8">
      <c r="A31" t="s">
        <v>211</v>
      </c>
      <c r="H31">
        <f>SUM(H7:H29)</f>
        <v>0</v>
      </c>
    </row>
    <row r="32" spans="1:8">
      <c r="A32" s="4" t="s">
        <v>223</v>
      </c>
      <c r="H32">
        <f>H31*1.6</f>
        <v>0</v>
      </c>
    </row>
    <row r="33" spans="1:8">
      <c r="A33" s="4"/>
    </row>
    <row r="34" spans="1:8" s="16" customFormat="1">
      <c r="A34" s="1" t="s">
        <v>205</v>
      </c>
      <c r="H34" s="16">
        <f>SUM(H32:H32)</f>
        <v>0</v>
      </c>
    </row>
    <row r="38" spans="1:8">
      <c r="A38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3"/>
  <sheetViews>
    <sheetView topLeftCell="A4" workbookViewId="0">
      <selection activeCell="E48" sqref="E48"/>
    </sheetView>
  </sheetViews>
  <sheetFormatPr defaultRowHeight="12.75"/>
  <cols>
    <col min="1" max="1" width="60.28515625" customWidth="1"/>
    <col min="2" max="2" width="22.140625" customWidth="1"/>
    <col min="3" max="3" width="29.42578125" customWidth="1"/>
    <col min="4" max="4" width="7.5703125" customWidth="1"/>
    <col min="5" max="5" width="12.42578125" customWidth="1"/>
    <col min="6" max="6" width="17.42578125" customWidth="1"/>
    <col min="7" max="7" width="16" customWidth="1"/>
    <col min="8" max="8" width="10.7109375" customWidth="1"/>
  </cols>
  <sheetData>
    <row r="1" spans="1:8" s="7" customFormat="1" ht="23.25">
      <c r="A1" s="7" t="s">
        <v>30</v>
      </c>
    </row>
    <row r="2" spans="1:8" s="16" customFormat="1" ht="23.25">
      <c r="A2" s="22" t="s">
        <v>283</v>
      </c>
    </row>
    <row r="3" spans="1:8">
      <c r="A3" t="s">
        <v>155</v>
      </c>
      <c r="B3">
        <v>2</v>
      </c>
      <c r="C3" t="s">
        <v>228</v>
      </c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A5" s="1"/>
      <c r="B5" s="1"/>
      <c r="C5" s="1"/>
      <c r="D5" s="1"/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3" t="s">
        <v>284</v>
      </c>
      <c r="B6" t="s">
        <v>274</v>
      </c>
      <c r="C6" t="s">
        <v>274</v>
      </c>
      <c r="D6">
        <v>2</v>
      </c>
      <c r="F6">
        <f>(2600*400*2)/1000000</f>
        <v>2.08</v>
      </c>
      <c r="G6">
        <v>0</v>
      </c>
      <c r="H6">
        <f t="shared" ref="H6:H11" si="0">G6*F6*1.3</f>
        <v>0</v>
      </c>
    </row>
    <row r="7" spans="1:8">
      <c r="A7" s="4" t="s">
        <v>165</v>
      </c>
      <c r="B7" t="s">
        <v>274</v>
      </c>
      <c r="C7" t="s">
        <v>274</v>
      </c>
      <c r="D7">
        <v>2</v>
      </c>
      <c r="F7">
        <f>(1262*100*2)/1000000</f>
        <v>0.25240000000000001</v>
      </c>
      <c r="G7" s="4">
        <v>0</v>
      </c>
      <c r="H7">
        <f t="shared" si="0"/>
        <v>0</v>
      </c>
    </row>
    <row r="8" spans="1:8">
      <c r="A8" s="13" t="s">
        <v>239</v>
      </c>
      <c r="B8" t="s">
        <v>274</v>
      </c>
      <c r="C8" t="s">
        <v>274</v>
      </c>
      <c r="D8">
        <v>2</v>
      </c>
      <c r="F8">
        <f>(1262*400*2)/1000000</f>
        <v>1.0096000000000001</v>
      </c>
      <c r="G8" s="4">
        <v>0</v>
      </c>
      <c r="H8">
        <f t="shared" si="0"/>
        <v>0</v>
      </c>
    </row>
    <row r="9" spans="1:8">
      <c r="A9" s="13" t="s">
        <v>240</v>
      </c>
      <c r="B9" t="s">
        <v>274</v>
      </c>
      <c r="C9" t="s">
        <v>274</v>
      </c>
      <c r="D9">
        <v>4</v>
      </c>
      <c r="F9">
        <f>(1262*365*4)/1000000</f>
        <v>1.8425199999999999</v>
      </c>
      <c r="G9" s="4">
        <v>0</v>
      </c>
      <c r="H9">
        <f t="shared" si="0"/>
        <v>0</v>
      </c>
    </row>
    <row r="10" spans="1:8">
      <c r="A10" s="13" t="s">
        <v>241</v>
      </c>
      <c r="B10" t="s">
        <v>274</v>
      </c>
      <c r="C10" t="s">
        <v>274</v>
      </c>
      <c r="D10">
        <v>1</v>
      </c>
      <c r="F10">
        <f>(1262*375)/1000000</f>
        <v>0.47325</v>
      </c>
      <c r="G10" s="4">
        <v>0</v>
      </c>
      <c r="H10">
        <f t="shared" si="0"/>
        <v>0</v>
      </c>
    </row>
    <row r="11" spans="1:8">
      <c r="A11" s="4" t="s">
        <v>287</v>
      </c>
      <c r="B11" s="4" t="s">
        <v>288</v>
      </c>
      <c r="C11" t="s">
        <v>286</v>
      </c>
      <c r="D11">
        <v>1</v>
      </c>
      <c r="F11">
        <f>(1276*2476)/1000000</f>
        <v>3.159376</v>
      </c>
      <c r="G11" s="4">
        <v>0</v>
      </c>
      <c r="H11">
        <f t="shared" si="0"/>
        <v>0</v>
      </c>
    </row>
    <row r="12" spans="1:8">
      <c r="A12" s="4" t="s">
        <v>164</v>
      </c>
      <c r="B12" t="s">
        <v>5</v>
      </c>
      <c r="C12" t="s">
        <v>7</v>
      </c>
      <c r="D12">
        <v>2</v>
      </c>
      <c r="E12">
        <f>(40*20*2562)/1000000000</f>
        <v>2.0495999999999999E-3</v>
      </c>
      <c r="G12" s="4">
        <v>0</v>
      </c>
      <c r="H12">
        <f>G12*E12*1.3</f>
        <v>0</v>
      </c>
    </row>
    <row r="13" spans="1:8">
      <c r="A13" s="14" t="s">
        <v>119</v>
      </c>
      <c r="B13" t="s">
        <v>98</v>
      </c>
      <c r="C13" t="s">
        <v>98</v>
      </c>
      <c r="D13">
        <v>3</v>
      </c>
      <c r="G13">
        <v>0</v>
      </c>
      <c r="H13">
        <f t="shared" ref="H13:H18" si="1">G13*D13</f>
        <v>0</v>
      </c>
    </row>
    <row r="14" spans="1:8">
      <c r="A14" s="13" t="s">
        <v>118</v>
      </c>
      <c r="B14" s="4" t="s">
        <v>98</v>
      </c>
      <c r="C14" t="s">
        <v>98</v>
      </c>
      <c r="D14">
        <v>16</v>
      </c>
      <c r="G14" s="4">
        <v>0</v>
      </c>
      <c r="H14">
        <f t="shared" si="1"/>
        <v>0</v>
      </c>
    </row>
    <row r="15" spans="1:8">
      <c r="A15" s="13" t="s">
        <v>110</v>
      </c>
      <c r="B15" s="4" t="s">
        <v>87</v>
      </c>
      <c r="C15" s="4" t="s">
        <v>87</v>
      </c>
      <c r="D15">
        <v>2</v>
      </c>
      <c r="G15">
        <v>0</v>
      </c>
      <c r="H15">
        <f t="shared" si="1"/>
        <v>0</v>
      </c>
    </row>
    <row r="16" spans="1:8">
      <c r="A16" s="13" t="s">
        <v>93</v>
      </c>
      <c r="C16" s="4" t="s">
        <v>98</v>
      </c>
      <c r="D16">
        <v>2</v>
      </c>
      <c r="G16">
        <v>0</v>
      </c>
      <c r="H16">
        <f t="shared" si="1"/>
        <v>0</v>
      </c>
    </row>
    <row r="17" spans="1:8">
      <c r="A17" s="13" t="s">
        <v>86</v>
      </c>
      <c r="B17" t="s">
        <v>8</v>
      </c>
      <c r="C17" t="s">
        <v>8</v>
      </c>
      <c r="D17">
        <v>2</v>
      </c>
      <c r="G17">
        <v>0</v>
      </c>
      <c r="H17">
        <f t="shared" si="1"/>
        <v>0</v>
      </c>
    </row>
    <row r="18" spans="1:8">
      <c r="A18" s="13" t="s">
        <v>120</v>
      </c>
      <c r="B18" t="s">
        <v>8</v>
      </c>
      <c r="C18" t="s">
        <v>8</v>
      </c>
      <c r="D18">
        <v>2</v>
      </c>
      <c r="G18">
        <v>0</v>
      </c>
      <c r="H18">
        <f t="shared" si="1"/>
        <v>0</v>
      </c>
    </row>
    <row r="19" spans="1:8">
      <c r="A19" s="13"/>
    </row>
    <row r="20" spans="1:8">
      <c r="A20" t="s">
        <v>211</v>
      </c>
      <c r="H20">
        <f>SUM(H6:H18)</f>
        <v>0</v>
      </c>
    </row>
    <row r="21" spans="1:8">
      <c r="A21" s="4" t="s">
        <v>223</v>
      </c>
      <c r="B21" s="4"/>
      <c r="H21">
        <f>H20*1.6</f>
        <v>0</v>
      </c>
    </row>
    <row r="22" spans="1:8">
      <c r="A22" s="4"/>
      <c r="B22" s="4"/>
    </row>
    <row r="23" spans="1:8" s="16" customFormat="1">
      <c r="A23" s="1" t="s">
        <v>205</v>
      </c>
      <c r="B23" s="1"/>
      <c r="H23" s="1">
        <f>SUM(H21:H21)</f>
        <v>0</v>
      </c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zoomScale="75" zoomScaleNormal="75" workbookViewId="0">
      <selection activeCell="G41" sqref="G41"/>
    </sheetView>
  </sheetViews>
  <sheetFormatPr defaultRowHeight="12.75"/>
  <cols>
    <col min="1" max="1" width="54.42578125" customWidth="1"/>
    <col min="2" max="2" width="17.5703125" customWidth="1"/>
    <col min="3" max="3" width="47.85546875" customWidth="1"/>
    <col min="4" max="4" width="7.140625" customWidth="1"/>
    <col min="5" max="5" width="11.42578125" customWidth="1"/>
    <col min="6" max="7" width="16.42578125" customWidth="1"/>
    <col min="8" max="8" width="12.5703125" customWidth="1"/>
  </cols>
  <sheetData>
    <row r="1" spans="1:8" ht="23.25">
      <c r="A1" s="7" t="s">
        <v>23</v>
      </c>
      <c r="E1" s="7"/>
      <c r="F1" s="7"/>
      <c r="G1" s="7"/>
    </row>
    <row r="2" spans="1:8" s="16" customFormat="1" ht="23.25">
      <c r="A2" s="22" t="s">
        <v>33</v>
      </c>
      <c r="B2" s="27" t="s">
        <v>228</v>
      </c>
    </row>
    <row r="3" spans="1:8">
      <c r="A3" t="s">
        <v>155</v>
      </c>
      <c r="B3">
        <v>4</v>
      </c>
      <c r="C3" s="4"/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A5" s="1"/>
      <c r="B5" s="1"/>
      <c r="C5" s="1"/>
      <c r="D5" s="1"/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3" t="s">
        <v>147</v>
      </c>
      <c r="B6" t="s">
        <v>5</v>
      </c>
      <c r="C6" s="4" t="s">
        <v>294</v>
      </c>
      <c r="D6" s="13">
        <v>1</v>
      </c>
      <c r="E6">
        <f>(40*19*1722)/1000000000</f>
        <v>1.30872E-3</v>
      </c>
      <c r="G6">
        <v>0</v>
      </c>
      <c r="H6" s="13">
        <f>1.3*G6*E6</f>
        <v>0</v>
      </c>
    </row>
    <row r="7" spans="1:8">
      <c r="A7" s="13" t="s">
        <v>216</v>
      </c>
      <c r="B7" t="s">
        <v>82</v>
      </c>
      <c r="C7" s="4" t="s">
        <v>294</v>
      </c>
      <c r="D7" s="13">
        <v>1</v>
      </c>
      <c r="F7">
        <f>(1722*40)/100000</f>
        <v>0.68879999999999997</v>
      </c>
      <c r="G7">
        <v>0</v>
      </c>
      <c r="H7" s="13">
        <f>1.3*G7*F7</f>
        <v>0</v>
      </c>
    </row>
    <row r="8" spans="1:8">
      <c r="A8" s="13" t="s">
        <v>148</v>
      </c>
      <c r="B8" t="s">
        <v>5</v>
      </c>
      <c r="C8" s="4" t="s">
        <v>294</v>
      </c>
      <c r="D8" s="13">
        <v>4</v>
      </c>
      <c r="E8">
        <f>(40*40*1722*4)/1000000000</f>
        <v>1.1020800000000001E-2</v>
      </c>
      <c r="G8">
        <v>0</v>
      </c>
      <c r="H8" s="13">
        <f t="shared" ref="H8:H15" si="0">1.3*G8*E8</f>
        <v>0</v>
      </c>
    </row>
    <row r="9" spans="1:8">
      <c r="A9" s="13" t="s">
        <v>219</v>
      </c>
      <c r="B9" t="s">
        <v>82</v>
      </c>
      <c r="C9" s="4" t="s">
        <v>294</v>
      </c>
      <c r="D9" s="13">
        <v>1</v>
      </c>
      <c r="F9">
        <f>(1722*2*420)/1000000</f>
        <v>1.44648</v>
      </c>
      <c r="G9">
        <v>0</v>
      </c>
      <c r="H9" s="13">
        <f>1.3*G9*F9</f>
        <v>0</v>
      </c>
    </row>
    <row r="10" spans="1:8">
      <c r="A10" s="13" t="s">
        <v>153</v>
      </c>
      <c r="B10" t="s">
        <v>82</v>
      </c>
      <c r="C10" s="4" t="s">
        <v>294</v>
      </c>
      <c r="D10" s="13">
        <v>2</v>
      </c>
      <c r="F10">
        <f>(2*1722*420)/1000000</f>
        <v>1.44648</v>
      </c>
      <c r="G10">
        <v>0</v>
      </c>
      <c r="H10" s="13">
        <f>1.3*G10*F10</f>
        <v>0</v>
      </c>
    </row>
    <row r="11" spans="1:8">
      <c r="A11" t="s">
        <v>149</v>
      </c>
      <c r="B11" t="s">
        <v>5</v>
      </c>
      <c r="C11" s="4" t="s">
        <v>294</v>
      </c>
      <c r="D11" s="13">
        <v>4</v>
      </c>
      <c r="E11">
        <f>(40*40*420*4)/1000000000</f>
        <v>2.6879999999999999E-3</v>
      </c>
      <c r="G11">
        <v>0</v>
      </c>
      <c r="H11" s="13">
        <f t="shared" si="0"/>
        <v>0</v>
      </c>
    </row>
    <row r="12" spans="1:8">
      <c r="A12" t="s">
        <v>150</v>
      </c>
      <c r="B12" t="s">
        <v>5</v>
      </c>
      <c r="C12" s="4" t="s">
        <v>294</v>
      </c>
      <c r="D12" s="13">
        <v>4</v>
      </c>
      <c r="E12">
        <f>(4*40*40*2840)/1000000000</f>
        <v>1.8176000000000001E-2</v>
      </c>
      <c r="G12">
        <v>0</v>
      </c>
      <c r="H12" s="13">
        <f t="shared" si="0"/>
        <v>0</v>
      </c>
    </row>
    <row r="13" spans="1:8">
      <c r="A13" t="s">
        <v>146</v>
      </c>
      <c r="B13" t="s">
        <v>82</v>
      </c>
      <c r="C13" s="4" t="s">
        <v>294</v>
      </c>
      <c r="D13" s="13">
        <v>2</v>
      </c>
      <c r="F13">
        <f>(2760*420*2)/1000000</f>
        <v>2.3184</v>
      </c>
      <c r="G13">
        <v>0</v>
      </c>
      <c r="H13" s="13">
        <f>1.3*G13*F13</f>
        <v>0</v>
      </c>
    </row>
    <row r="14" spans="1:8">
      <c r="A14" s="13" t="s">
        <v>151</v>
      </c>
      <c r="B14" t="s">
        <v>5</v>
      </c>
      <c r="C14" s="4" t="s">
        <v>294</v>
      </c>
      <c r="D14" s="13">
        <v>4</v>
      </c>
      <c r="E14">
        <f>(40*25*777*4)/1000000000</f>
        <v>3.1080000000000001E-3</v>
      </c>
      <c r="G14">
        <v>0</v>
      </c>
      <c r="H14" s="13">
        <f t="shared" si="0"/>
        <v>0</v>
      </c>
    </row>
    <row r="15" spans="1:8">
      <c r="A15" s="13" t="s">
        <v>152</v>
      </c>
      <c r="B15" t="s">
        <v>5</v>
      </c>
      <c r="C15" s="4" t="s">
        <v>294</v>
      </c>
      <c r="D15" s="13">
        <v>4</v>
      </c>
      <c r="E15">
        <f>(40*25*2756*4)/1000000000</f>
        <v>1.1024000000000001E-2</v>
      </c>
      <c r="G15">
        <v>0</v>
      </c>
      <c r="H15" s="13">
        <f t="shared" si="0"/>
        <v>0</v>
      </c>
    </row>
    <row r="16" spans="1:8">
      <c r="A16" t="s">
        <v>145</v>
      </c>
      <c r="B16" t="s">
        <v>5</v>
      </c>
      <c r="C16" s="4" t="s">
        <v>294</v>
      </c>
      <c r="D16">
        <v>2</v>
      </c>
      <c r="F16">
        <f>(2676*777*2)/1000000</f>
        <v>4.1585039999999998</v>
      </c>
      <c r="G16">
        <v>0</v>
      </c>
      <c r="H16" s="13">
        <f>1.3*G16*F16</f>
        <v>0</v>
      </c>
    </row>
    <row r="17" spans="1:8">
      <c r="A17" s="4" t="s">
        <v>143</v>
      </c>
      <c r="B17" t="s">
        <v>82</v>
      </c>
      <c r="C17" s="4" t="s">
        <v>294</v>
      </c>
      <c r="D17">
        <v>3</v>
      </c>
      <c r="F17">
        <f>(500*260*3)/1000000</f>
        <v>0.39</v>
      </c>
      <c r="G17">
        <v>0</v>
      </c>
      <c r="H17" s="13">
        <f>1.3*G17*F17</f>
        <v>0</v>
      </c>
    </row>
    <row r="18" spans="1:8">
      <c r="A18" s="4" t="s">
        <v>144</v>
      </c>
      <c r="B18" t="s">
        <v>82</v>
      </c>
      <c r="C18" s="4" t="s">
        <v>294</v>
      </c>
      <c r="D18">
        <v>2</v>
      </c>
      <c r="F18" s="4">
        <f>(1720*260*2)/1000000</f>
        <v>0.89439999999999997</v>
      </c>
      <c r="G18">
        <v>0</v>
      </c>
      <c r="H18" s="13">
        <f>1.3*G18*F18</f>
        <v>0</v>
      </c>
    </row>
    <row r="19" spans="1:8">
      <c r="A19" s="4" t="s">
        <v>220</v>
      </c>
      <c r="B19" t="s">
        <v>10</v>
      </c>
      <c r="C19" t="s">
        <v>12</v>
      </c>
      <c r="D19">
        <v>1</v>
      </c>
      <c r="E19" s="4"/>
      <c r="F19" s="29">
        <f>(1734*2134)/1000000</f>
        <v>3.7003560000000002</v>
      </c>
      <c r="G19">
        <v>0</v>
      </c>
      <c r="H19" s="4">
        <f>F19*G19</f>
        <v>0</v>
      </c>
    </row>
    <row r="20" spans="1:8">
      <c r="A20" t="s">
        <v>136</v>
      </c>
      <c r="B20" t="s">
        <v>6</v>
      </c>
      <c r="D20">
        <v>2</v>
      </c>
      <c r="E20" s="4"/>
      <c r="F20" s="30">
        <f>(858*2118*2)/1000000</f>
        <v>3.6344880000000002</v>
      </c>
      <c r="G20">
        <v>0</v>
      </c>
      <c r="H20" s="4">
        <f>F20*G20</f>
        <v>0</v>
      </c>
    </row>
    <row r="21" spans="1:8">
      <c r="A21" t="s">
        <v>137</v>
      </c>
      <c r="B21" t="s">
        <v>6</v>
      </c>
      <c r="D21">
        <v>4</v>
      </c>
      <c r="E21" s="4"/>
      <c r="F21" s="30">
        <f>(1762*350*4)/1000000</f>
        <v>2.4668000000000001</v>
      </c>
      <c r="G21">
        <v>0</v>
      </c>
      <c r="H21" s="4">
        <f>F21*G21</f>
        <v>0</v>
      </c>
    </row>
    <row r="22" spans="1:8">
      <c r="A22" s="14" t="s">
        <v>134</v>
      </c>
      <c r="B22" t="s">
        <v>85</v>
      </c>
      <c r="C22" t="s">
        <v>85</v>
      </c>
      <c r="D22">
        <v>5</v>
      </c>
      <c r="E22" s="4"/>
      <c r="F22" s="4"/>
      <c r="G22" s="4">
        <v>0</v>
      </c>
      <c r="H22">
        <f>G22*D22</f>
        <v>0</v>
      </c>
    </row>
    <row r="23" spans="1:8">
      <c r="A23" s="14" t="s">
        <v>135</v>
      </c>
      <c r="B23" t="s">
        <v>85</v>
      </c>
      <c r="C23" t="s">
        <v>85</v>
      </c>
      <c r="D23">
        <v>5</v>
      </c>
      <c r="G23" s="4">
        <v>0</v>
      </c>
      <c r="H23">
        <f t="shared" ref="H23:H48" si="1">G23*D23</f>
        <v>0</v>
      </c>
    </row>
    <row r="24" spans="1:8">
      <c r="A24" s="13" t="s">
        <v>115</v>
      </c>
      <c r="B24" s="4" t="s">
        <v>85</v>
      </c>
      <c r="C24" s="4" t="s">
        <v>85</v>
      </c>
      <c r="D24">
        <v>5</v>
      </c>
      <c r="E24" s="4"/>
      <c r="F24" s="4"/>
      <c r="G24" s="4">
        <v>0</v>
      </c>
      <c r="H24">
        <f t="shared" si="1"/>
        <v>0</v>
      </c>
    </row>
    <row r="25" spans="1:8">
      <c r="A25" s="13" t="s">
        <v>116</v>
      </c>
      <c r="B25" s="4" t="s">
        <v>85</v>
      </c>
      <c r="C25" s="4" t="s">
        <v>85</v>
      </c>
      <c r="D25">
        <v>5</v>
      </c>
      <c r="G25" s="4">
        <v>0</v>
      </c>
      <c r="H25">
        <f t="shared" si="1"/>
        <v>0</v>
      </c>
    </row>
    <row r="26" spans="1:8">
      <c r="A26" t="s">
        <v>131</v>
      </c>
      <c r="B26" t="s">
        <v>98</v>
      </c>
      <c r="C26" s="4" t="s">
        <v>227</v>
      </c>
      <c r="D26">
        <v>2</v>
      </c>
      <c r="G26" s="4">
        <v>0</v>
      </c>
      <c r="H26">
        <f t="shared" si="1"/>
        <v>0</v>
      </c>
    </row>
    <row r="27" spans="1:8">
      <c r="A27" t="s">
        <v>132</v>
      </c>
      <c r="B27" t="s">
        <v>98</v>
      </c>
      <c r="C27" s="4" t="s">
        <v>227</v>
      </c>
      <c r="D27">
        <v>2</v>
      </c>
      <c r="G27" s="4">
        <v>0</v>
      </c>
      <c r="H27">
        <f t="shared" si="1"/>
        <v>0</v>
      </c>
    </row>
    <row r="28" spans="1:8">
      <c r="A28" t="s">
        <v>125</v>
      </c>
      <c r="B28" t="s">
        <v>98</v>
      </c>
      <c r="C28" s="4" t="s">
        <v>227</v>
      </c>
      <c r="D28">
        <v>2</v>
      </c>
      <c r="G28" s="4">
        <v>0</v>
      </c>
      <c r="H28">
        <f t="shared" si="1"/>
        <v>0</v>
      </c>
    </row>
    <row r="29" spans="1:8">
      <c r="A29" t="s">
        <v>17</v>
      </c>
      <c r="B29" t="s">
        <v>98</v>
      </c>
      <c r="C29" t="s">
        <v>100</v>
      </c>
      <c r="D29">
        <v>2</v>
      </c>
      <c r="G29" s="4">
        <v>0</v>
      </c>
      <c r="H29">
        <f t="shared" si="1"/>
        <v>0</v>
      </c>
    </row>
    <row r="30" spans="1:8">
      <c r="A30" s="14" t="s">
        <v>133</v>
      </c>
      <c r="B30" t="s">
        <v>4</v>
      </c>
      <c r="C30" t="s">
        <v>4</v>
      </c>
      <c r="D30">
        <v>2</v>
      </c>
      <c r="G30" s="4">
        <v>0</v>
      </c>
      <c r="H30">
        <f t="shared" si="1"/>
        <v>0</v>
      </c>
    </row>
    <row r="31" spans="1:8">
      <c r="A31" s="13" t="s">
        <v>224</v>
      </c>
      <c r="B31" t="s">
        <v>4</v>
      </c>
      <c r="C31" t="s">
        <v>4</v>
      </c>
      <c r="D31">
        <v>2</v>
      </c>
      <c r="G31">
        <v>0</v>
      </c>
      <c r="H31">
        <f t="shared" si="1"/>
        <v>0</v>
      </c>
    </row>
    <row r="32" spans="1:8">
      <c r="A32" s="13" t="s">
        <v>110</v>
      </c>
      <c r="B32" s="4" t="s">
        <v>87</v>
      </c>
      <c r="C32" t="s">
        <v>112</v>
      </c>
      <c r="G32">
        <v>0</v>
      </c>
      <c r="H32">
        <f t="shared" si="1"/>
        <v>0</v>
      </c>
    </row>
    <row r="33" spans="1:8">
      <c r="A33" s="13" t="s">
        <v>167</v>
      </c>
      <c r="B33" s="4" t="s">
        <v>98</v>
      </c>
      <c r="C33" t="s">
        <v>98</v>
      </c>
      <c r="D33">
        <v>2</v>
      </c>
      <c r="G33">
        <v>0</v>
      </c>
      <c r="H33">
        <f t="shared" si="1"/>
        <v>0</v>
      </c>
    </row>
    <row r="34" spans="1:8">
      <c r="A34" s="1" t="s">
        <v>14</v>
      </c>
      <c r="G34">
        <v>0</v>
      </c>
      <c r="H34">
        <f t="shared" si="1"/>
        <v>0</v>
      </c>
    </row>
    <row r="35" spans="1:8">
      <c r="A35" s="4" t="s">
        <v>138</v>
      </c>
      <c r="B35" t="s">
        <v>5</v>
      </c>
      <c r="C35" s="4" t="s">
        <v>294</v>
      </c>
      <c r="D35">
        <v>4</v>
      </c>
      <c r="E35">
        <f>(1716*148*19*4)/1000000000</f>
        <v>1.9301568000000002E-2</v>
      </c>
      <c r="G35">
        <v>0</v>
      </c>
      <c r="H35">
        <f>G35*1.3*E35</f>
        <v>0</v>
      </c>
    </row>
    <row r="36" spans="1:8">
      <c r="A36" s="4" t="s">
        <v>139</v>
      </c>
      <c r="B36" t="s">
        <v>5</v>
      </c>
      <c r="C36" s="4" t="s">
        <v>294</v>
      </c>
      <c r="D36">
        <v>4</v>
      </c>
      <c r="E36">
        <f>(12*15*388*4)/1000000000</f>
        <v>2.7935999999999998E-4</v>
      </c>
      <c r="G36">
        <v>0</v>
      </c>
      <c r="H36">
        <f>G36*1.3*E36</f>
        <v>0</v>
      </c>
    </row>
    <row r="37" spans="1:8">
      <c r="A37" s="4" t="s">
        <v>140</v>
      </c>
      <c r="B37" t="s">
        <v>88</v>
      </c>
      <c r="C37" s="4" t="s">
        <v>294</v>
      </c>
      <c r="D37">
        <v>4</v>
      </c>
      <c r="F37" s="31">
        <f>(1680*120*4)/1000000</f>
        <v>0.80640000000000001</v>
      </c>
      <c r="G37">
        <v>0</v>
      </c>
      <c r="H37">
        <f>G37*1.3*F37</f>
        <v>0</v>
      </c>
    </row>
    <row r="38" spans="1:8">
      <c r="A38" s="4" t="s">
        <v>141</v>
      </c>
      <c r="B38" t="s">
        <v>88</v>
      </c>
      <c r="C38" s="4" t="s">
        <v>294</v>
      </c>
      <c r="D38">
        <v>8</v>
      </c>
      <c r="F38" s="31">
        <f>(400*120*8)/1000000</f>
        <v>0.38400000000000001</v>
      </c>
      <c r="G38">
        <v>0</v>
      </c>
      <c r="H38">
        <f>G38*1.3*F38</f>
        <v>0</v>
      </c>
    </row>
    <row r="39" spans="1:8">
      <c r="A39" s="4" t="s">
        <v>142</v>
      </c>
      <c r="B39" t="s">
        <v>88</v>
      </c>
      <c r="C39" s="4" t="s">
        <v>294</v>
      </c>
      <c r="D39">
        <v>4</v>
      </c>
      <c r="F39" s="31">
        <f>(1690*393*4)/1000000</f>
        <v>2.6566800000000002</v>
      </c>
      <c r="G39">
        <v>0</v>
      </c>
      <c r="H39">
        <f>G39*1.3*F39</f>
        <v>0</v>
      </c>
    </row>
    <row r="40" spans="1:8" ht="15.75" customHeight="1">
      <c r="A40" s="28" t="s">
        <v>129</v>
      </c>
      <c r="D40">
        <v>4</v>
      </c>
      <c r="G40">
        <v>0</v>
      </c>
      <c r="H40">
        <f t="shared" si="1"/>
        <v>0</v>
      </c>
    </row>
    <row r="41" spans="1:8">
      <c r="A41" s="1" t="s">
        <v>11</v>
      </c>
    </row>
    <row r="42" spans="1:8">
      <c r="A42" s="13" t="s">
        <v>226</v>
      </c>
      <c r="D42">
        <v>3</v>
      </c>
    </row>
    <row r="43" spans="1:8">
      <c r="A43" s="1" t="s">
        <v>13</v>
      </c>
    </row>
    <row r="44" spans="1:8">
      <c r="A44" s="13" t="s">
        <v>299</v>
      </c>
      <c r="B44" s="4" t="s">
        <v>300</v>
      </c>
      <c r="D44">
        <v>4</v>
      </c>
      <c r="G44">
        <v>0</v>
      </c>
      <c r="H44">
        <f t="shared" si="1"/>
        <v>0</v>
      </c>
    </row>
    <row r="45" spans="1:8">
      <c r="A45" s="14" t="s">
        <v>18</v>
      </c>
      <c r="B45" s="4" t="s">
        <v>98</v>
      </c>
      <c r="C45" t="s">
        <v>128</v>
      </c>
      <c r="D45">
        <v>16</v>
      </c>
      <c r="G45">
        <v>0</v>
      </c>
      <c r="H45">
        <f t="shared" si="1"/>
        <v>0</v>
      </c>
    </row>
    <row r="46" spans="1:8">
      <c r="A46" s="14" t="s">
        <v>126</v>
      </c>
      <c r="B46" t="s">
        <v>98</v>
      </c>
      <c r="C46" t="s">
        <v>128</v>
      </c>
      <c r="D46">
        <v>4</v>
      </c>
      <c r="G46">
        <v>0</v>
      </c>
      <c r="H46">
        <f t="shared" si="1"/>
        <v>0</v>
      </c>
    </row>
    <row r="47" spans="1:8">
      <c r="A47" s="13" t="s">
        <v>221</v>
      </c>
      <c r="B47" t="s">
        <v>98</v>
      </c>
      <c r="C47" t="s">
        <v>128</v>
      </c>
      <c r="D47">
        <v>4</v>
      </c>
      <c r="G47">
        <v>0</v>
      </c>
      <c r="H47">
        <f t="shared" si="1"/>
        <v>0</v>
      </c>
    </row>
    <row r="48" spans="1:8">
      <c r="A48" s="14" t="s">
        <v>130</v>
      </c>
      <c r="B48" t="s">
        <v>85</v>
      </c>
      <c r="C48" t="s">
        <v>85</v>
      </c>
      <c r="D48">
        <v>16</v>
      </c>
      <c r="G48">
        <v>0</v>
      </c>
      <c r="H48">
        <f t="shared" si="1"/>
        <v>0</v>
      </c>
    </row>
    <row r="49" spans="1:8">
      <c r="A49" s="14"/>
    </row>
    <row r="50" spans="1:8">
      <c r="A50" t="s">
        <v>211</v>
      </c>
      <c r="G50">
        <v>0</v>
      </c>
      <c r="H50">
        <f>SUM(H6:H49)</f>
        <v>0</v>
      </c>
    </row>
    <row r="51" spans="1:8">
      <c r="A51" s="4" t="s">
        <v>223</v>
      </c>
      <c r="G51">
        <v>0</v>
      </c>
      <c r="H51">
        <f>1.6*H50</f>
        <v>0</v>
      </c>
    </row>
    <row r="52" spans="1:8">
      <c r="A52" s="4" t="s">
        <v>222</v>
      </c>
      <c r="G52">
        <v>0</v>
      </c>
      <c r="H52">
        <f>F52*G52</f>
        <v>0</v>
      </c>
    </row>
    <row r="54" spans="1:8">
      <c r="A54" s="1" t="s">
        <v>205</v>
      </c>
      <c r="B54" s="16"/>
      <c r="C54" s="16"/>
      <c r="D54" s="16"/>
      <c r="E54" s="16"/>
      <c r="F54" s="16"/>
      <c r="G54" s="16"/>
      <c r="H54" s="1">
        <f>SUM(H51:H52)</f>
        <v>0</v>
      </c>
    </row>
    <row r="56" spans="1:8">
      <c r="A56" s="32"/>
    </row>
  </sheetData>
  <phoneticPr fontId="2" type="noConversion"/>
  <pageMargins left="0.78740157499999996" right="0.78740157499999996" top="0.984251969" bottom="0.984251969" header="0.4921259845" footer="0.4921259845"/>
  <pageSetup paperSize="8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topLeftCell="A16" workbookViewId="0">
      <selection activeCell="A4" sqref="A4:D5"/>
    </sheetView>
  </sheetViews>
  <sheetFormatPr defaultRowHeight="12.75"/>
  <cols>
    <col min="1" max="1" width="71.7109375" customWidth="1"/>
    <col min="2" max="2" width="18.140625" customWidth="1"/>
    <col min="3" max="3" width="28.85546875" customWidth="1"/>
    <col min="4" max="4" width="6.5703125" customWidth="1"/>
    <col min="5" max="5" width="9" customWidth="1"/>
    <col min="6" max="6" width="16.7109375" customWidth="1"/>
    <col min="7" max="7" width="16.85546875" customWidth="1"/>
  </cols>
  <sheetData>
    <row r="1" spans="1:8" s="6" customFormat="1" ht="23.25">
      <c r="A1" s="7" t="s">
        <v>24</v>
      </c>
    </row>
    <row r="2" spans="1:8" s="16" customFormat="1" ht="23.25">
      <c r="A2" s="22" t="s">
        <v>295</v>
      </c>
    </row>
    <row r="3" spans="1:8">
      <c r="A3" t="s">
        <v>155</v>
      </c>
      <c r="B3" s="4" t="s">
        <v>156</v>
      </c>
      <c r="C3" s="4" t="s">
        <v>228</v>
      </c>
    </row>
    <row r="4" spans="1:8" s="16" customFormat="1">
      <c r="A4" s="25" t="s">
        <v>1</v>
      </c>
      <c r="B4" s="26" t="s">
        <v>3</v>
      </c>
      <c r="C4" s="26" t="s">
        <v>2</v>
      </c>
      <c r="D4" s="26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A5" s="19"/>
      <c r="B5" s="20"/>
      <c r="C5" s="21"/>
      <c r="D5" s="21"/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8" t="s">
        <v>15</v>
      </c>
      <c r="B6" s="2"/>
      <c r="C6" s="2"/>
      <c r="D6" s="2"/>
      <c r="E6" s="2"/>
      <c r="F6" s="2"/>
      <c r="G6" s="2"/>
      <c r="H6" s="2"/>
    </row>
    <row r="7" spans="1:8">
      <c r="A7" s="4" t="s">
        <v>154</v>
      </c>
      <c r="B7" s="4" t="s">
        <v>229</v>
      </c>
      <c r="C7" s="4" t="s">
        <v>294</v>
      </c>
      <c r="D7">
        <v>1</v>
      </c>
      <c r="F7" s="4">
        <f>(1800*800)/1000000</f>
        <v>1.44</v>
      </c>
      <c r="G7">
        <v>0</v>
      </c>
      <c r="H7">
        <f>1.3*G7*F7</f>
        <v>0</v>
      </c>
    </row>
    <row r="8" spans="1:8">
      <c r="A8" s="4" t="s">
        <v>230</v>
      </c>
      <c r="B8" s="4" t="s">
        <v>236</v>
      </c>
      <c r="E8">
        <f>(5200*5)/1000000000</f>
        <v>2.5999999999999998E-5</v>
      </c>
      <c r="F8" s="4"/>
      <c r="G8">
        <v>0</v>
      </c>
      <c r="H8">
        <f>1.3*G8*E8</f>
        <v>0</v>
      </c>
    </row>
    <row r="9" spans="1:8">
      <c r="A9" s="3"/>
      <c r="B9" s="4"/>
      <c r="F9" s="4"/>
    </row>
    <row r="10" spans="1:8">
      <c r="A10" t="s">
        <v>211</v>
      </c>
      <c r="B10" s="4"/>
      <c r="F10" s="4"/>
      <c r="H10">
        <f>SUM(H7:H8)</f>
        <v>0</v>
      </c>
    </row>
    <row r="11" spans="1:8">
      <c r="A11" s="4" t="s">
        <v>223</v>
      </c>
      <c r="B11" s="4"/>
      <c r="F11" s="4"/>
      <c r="H11">
        <f>H10*1.6</f>
        <v>0</v>
      </c>
    </row>
    <row r="12" spans="1:8">
      <c r="A12" s="4" t="s">
        <v>222</v>
      </c>
      <c r="B12" s="4"/>
      <c r="F12" s="4">
        <v>2.8</v>
      </c>
      <c r="G12">
        <v>0</v>
      </c>
      <c r="H12">
        <f>G12*F12</f>
        <v>0</v>
      </c>
    </row>
    <row r="13" spans="1:8">
      <c r="A13" s="4"/>
      <c r="B13" s="4"/>
      <c r="F13" s="4"/>
    </row>
    <row r="14" spans="1:8" s="16" customFormat="1">
      <c r="A14" s="1" t="s">
        <v>234</v>
      </c>
      <c r="B14" s="27"/>
      <c r="F14" s="27"/>
      <c r="H14" s="1">
        <f>SUM(H11:H12)</f>
        <v>0</v>
      </c>
    </row>
    <row r="15" spans="1:8">
      <c r="B15" s="4"/>
      <c r="F15" s="4"/>
    </row>
    <row r="16" spans="1:8">
      <c r="A16" s="18" t="s">
        <v>16</v>
      </c>
    </row>
    <row r="17" spans="1:8">
      <c r="A17" s="4" t="s">
        <v>231</v>
      </c>
      <c r="B17" t="s">
        <v>5</v>
      </c>
      <c r="C17" s="4" t="s">
        <v>294</v>
      </c>
      <c r="D17">
        <v>2</v>
      </c>
      <c r="E17">
        <f>(40*25*700*2)/1000000000</f>
        <v>1.4E-3</v>
      </c>
      <c r="G17">
        <v>0</v>
      </c>
      <c r="H17">
        <f>1.3*G17*E17</f>
        <v>0</v>
      </c>
    </row>
    <row r="18" spans="1:8">
      <c r="A18" s="4" t="s">
        <v>232</v>
      </c>
      <c r="B18" t="s">
        <v>5</v>
      </c>
      <c r="C18" s="4" t="s">
        <v>294</v>
      </c>
      <c r="D18">
        <v>4</v>
      </c>
      <c r="E18">
        <f>(40*25*665*4)/1000000000</f>
        <v>2.66E-3</v>
      </c>
      <c r="G18">
        <v>0</v>
      </c>
      <c r="H18">
        <f>1.3*G18*E18</f>
        <v>0</v>
      </c>
    </row>
    <row r="19" spans="1:8">
      <c r="A19" s="4" t="s">
        <v>233</v>
      </c>
      <c r="B19" t="s">
        <v>5</v>
      </c>
      <c r="C19" s="4" t="s">
        <v>294</v>
      </c>
      <c r="D19">
        <v>2</v>
      </c>
      <c r="E19">
        <f>(40*25*405*2)/1000000000</f>
        <v>8.0999999999999996E-4</v>
      </c>
      <c r="G19">
        <v>0</v>
      </c>
      <c r="H19">
        <f>1.3*G19*E19</f>
        <v>0</v>
      </c>
    </row>
    <row r="20" spans="1:8">
      <c r="A20" t="s">
        <v>123</v>
      </c>
      <c r="B20" t="s">
        <v>85</v>
      </c>
      <c r="C20" t="s">
        <v>85</v>
      </c>
      <c r="D20">
        <v>1</v>
      </c>
      <c r="G20">
        <v>0</v>
      </c>
      <c r="H20">
        <f>G20*D20</f>
        <v>0</v>
      </c>
    </row>
    <row r="21" spans="1:8">
      <c r="A21" t="s">
        <v>124</v>
      </c>
      <c r="B21" t="s">
        <v>85</v>
      </c>
      <c r="C21" t="s">
        <v>85</v>
      </c>
      <c r="D21">
        <v>1</v>
      </c>
      <c r="G21">
        <v>0</v>
      </c>
      <c r="H21">
        <f>G21*D21</f>
        <v>0</v>
      </c>
    </row>
    <row r="22" spans="1:8">
      <c r="A22" s="4" t="s">
        <v>268</v>
      </c>
      <c r="B22" s="4" t="s">
        <v>4</v>
      </c>
      <c r="C22" s="4" t="s">
        <v>4</v>
      </c>
      <c r="D22">
        <v>2</v>
      </c>
      <c r="G22">
        <v>0</v>
      </c>
      <c r="H22">
        <f>G22*D22</f>
        <v>0</v>
      </c>
    </row>
    <row r="23" spans="1:8">
      <c r="A23" s="4" t="s">
        <v>269</v>
      </c>
      <c r="B23" s="4" t="s">
        <v>4</v>
      </c>
      <c r="C23" t="s">
        <v>4</v>
      </c>
      <c r="D23">
        <v>4</v>
      </c>
      <c r="G23">
        <v>0</v>
      </c>
      <c r="H23">
        <f>G23*D23</f>
        <v>0</v>
      </c>
    </row>
    <row r="24" spans="1:8">
      <c r="A24" t="s">
        <v>20</v>
      </c>
      <c r="B24" t="s">
        <v>87</v>
      </c>
      <c r="C24" t="s">
        <v>87</v>
      </c>
      <c r="D24">
        <v>4</v>
      </c>
      <c r="G24">
        <v>0</v>
      </c>
      <c r="H24">
        <f>G24*D24</f>
        <v>0</v>
      </c>
    </row>
    <row r="26" spans="1:8">
      <c r="A26" t="s">
        <v>211</v>
      </c>
      <c r="H26">
        <f>SUM(H17:H24)</f>
        <v>0</v>
      </c>
    </row>
    <row r="27" spans="1:8">
      <c r="A27" s="4" t="s">
        <v>223</v>
      </c>
      <c r="H27">
        <f>H26*1.6</f>
        <v>0</v>
      </c>
    </row>
    <row r="28" spans="1:8">
      <c r="A28" s="4" t="s">
        <v>222</v>
      </c>
      <c r="F28" s="4">
        <v>0.5</v>
      </c>
      <c r="G28">
        <v>0</v>
      </c>
      <c r="H28">
        <f>G28*F28</f>
        <v>0</v>
      </c>
    </row>
    <row r="29" spans="1:8">
      <c r="A29" s="4"/>
    </row>
    <row r="30" spans="1:8" s="16" customFormat="1">
      <c r="A30" s="1" t="s">
        <v>235</v>
      </c>
      <c r="H30" s="1">
        <f>SUM(H27:H28)</f>
        <v>0</v>
      </c>
    </row>
    <row r="32" spans="1:8">
      <c r="A32" s="17"/>
    </row>
  </sheetData>
  <phoneticPr fontId="2" type="noConversion"/>
  <pageMargins left="0.78740157499999996" right="0.78740157499999996" top="0.984251969" bottom="0.984251969" header="0.4921259845" footer="0.4921259845"/>
  <pageSetup paperSize="8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G16" sqref="G16"/>
    </sheetView>
  </sheetViews>
  <sheetFormatPr defaultRowHeight="12.75"/>
  <cols>
    <col min="1" max="1" width="56.28515625" customWidth="1"/>
    <col min="2" max="2" width="18.85546875" customWidth="1"/>
    <col min="3" max="3" width="29.5703125" customWidth="1"/>
    <col min="4" max="4" width="5.85546875" customWidth="1"/>
    <col min="5" max="5" width="7.85546875" customWidth="1"/>
    <col min="6" max="6" width="19.28515625" customWidth="1"/>
    <col min="7" max="7" width="16.85546875" customWidth="1"/>
  </cols>
  <sheetData>
    <row r="1" spans="1:8" s="7" customFormat="1" ht="23.25">
      <c r="A1" s="7" t="s">
        <v>25</v>
      </c>
    </row>
    <row r="2" spans="1:8" s="16" customFormat="1" ht="23.25">
      <c r="A2" s="22" t="s">
        <v>19</v>
      </c>
    </row>
    <row r="3" spans="1:8">
      <c r="A3" t="s">
        <v>155</v>
      </c>
      <c r="B3">
        <v>4</v>
      </c>
      <c r="C3" t="s">
        <v>228</v>
      </c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A5" s="1"/>
      <c r="B5" s="1"/>
      <c r="C5" s="1"/>
      <c r="D5" s="1"/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8" t="s">
        <v>9</v>
      </c>
      <c r="B6" s="2"/>
      <c r="C6" s="2"/>
      <c r="D6" s="2"/>
      <c r="E6" s="2"/>
      <c r="F6" s="2"/>
      <c r="G6" s="2"/>
      <c r="H6" s="2"/>
    </row>
    <row r="7" spans="1:8">
      <c r="A7" s="13" t="s">
        <v>157</v>
      </c>
      <c r="B7" t="s">
        <v>5</v>
      </c>
      <c r="C7" s="4" t="s">
        <v>296</v>
      </c>
      <c r="D7" s="13">
        <v>1</v>
      </c>
      <c r="E7" s="13"/>
      <c r="F7" s="13">
        <v>2</v>
      </c>
      <c r="G7" s="13">
        <v>0</v>
      </c>
      <c r="H7" s="2">
        <f>G7*1.3*F7</f>
        <v>0</v>
      </c>
    </row>
    <row r="8" spans="1:8">
      <c r="A8" s="13" t="s">
        <v>158</v>
      </c>
      <c r="B8" s="4" t="s">
        <v>237</v>
      </c>
      <c r="C8" s="4" t="s">
        <v>294</v>
      </c>
      <c r="D8" s="13">
        <v>1</v>
      </c>
      <c r="E8" s="13"/>
      <c r="F8" s="13">
        <f>(1962*962)/1000000</f>
        <v>1.8874439999999999</v>
      </c>
      <c r="G8">
        <v>0</v>
      </c>
      <c r="H8" s="2">
        <f>G8*1.3*F8</f>
        <v>0</v>
      </c>
    </row>
    <row r="9" spans="1:8" ht="17.25" customHeight="1">
      <c r="A9" t="s">
        <v>159</v>
      </c>
      <c r="B9" t="s">
        <v>82</v>
      </c>
      <c r="C9" s="4" t="s">
        <v>294</v>
      </c>
      <c r="D9" s="13">
        <v>2</v>
      </c>
      <c r="E9" s="13"/>
      <c r="F9" s="13">
        <f>(2000*350*2)/1000000</f>
        <v>1.4</v>
      </c>
      <c r="G9">
        <v>0</v>
      </c>
      <c r="H9" s="2">
        <f>G9*1.3*F9</f>
        <v>0</v>
      </c>
    </row>
    <row r="10" spans="1:8">
      <c r="A10" t="s">
        <v>160</v>
      </c>
      <c r="B10" t="s">
        <v>82</v>
      </c>
      <c r="C10" s="4" t="s">
        <v>294</v>
      </c>
      <c r="D10" s="13">
        <v>2</v>
      </c>
      <c r="E10" s="13"/>
      <c r="F10" s="13">
        <f>(962*350*2)/1000000</f>
        <v>0.6734</v>
      </c>
      <c r="G10">
        <v>0</v>
      </c>
      <c r="H10" s="2">
        <f>G10*1.3*F10</f>
        <v>0</v>
      </c>
    </row>
    <row r="11" spans="1:8">
      <c r="A11" s="13" t="s">
        <v>161</v>
      </c>
      <c r="B11" t="s">
        <v>5</v>
      </c>
      <c r="C11" s="4" t="s">
        <v>294</v>
      </c>
      <c r="D11" s="13">
        <v>4</v>
      </c>
      <c r="E11" s="13">
        <f>(40*70*70*4)/1000000000</f>
        <v>7.8399999999999997E-4</v>
      </c>
      <c r="F11" s="13"/>
      <c r="G11">
        <v>0</v>
      </c>
      <c r="H11" s="2">
        <f>G11*1.3*E11</f>
        <v>0</v>
      </c>
    </row>
    <row r="12" spans="1:8">
      <c r="A12" s="4" t="s">
        <v>162</v>
      </c>
      <c r="B12" t="s">
        <v>5</v>
      </c>
      <c r="C12" s="4" t="s">
        <v>294</v>
      </c>
      <c r="D12">
        <v>6</v>
      </c>
      <c r="E12">
        <f>(80*20*962*6)/1000000000</f>
        <v>9.2352000000000007E-3</v>
      </c>
      <c r="G12">
        <v>0</v>
      </c>
      <c r="H12" s="2">
        <f>G12*1.3*E12</f>
        <v>0</v>
      </c>
    </row>
    <row r="13" spans="1:8">
      <c r="A13" s="13" t="s">
        <v>121</v>
      </c>
      <c r="B13" t="s">
        <v>98</v>
      </c>
      <c r="D13">
        <v>1</v>
      </c>
      <c r="G13">
        <v>0</v>
      </c>
      <c r="H13" s="2">
        <f>G13*D13</f>
        <v>0</v>
      </c>
    </row>
    <row r="14" spans="1:8">
      <c r="A14" s="13" t="s">
        <v>122</v>
      </c>
      <c r="B14" t="s">
        <v>107</v>
      </c>
      <c r="C14" t="s">
        <v>107</v>
      </c>
      <c r="D14">
        <v>4</v>
      </c>
      <c r="G14">
        <v>0</v>
      </c>
      <c r="H14" s="2">
        <f>G14*D14</f>
        <v>0</v>
      </c>
    </row>
    <row r="16" spans="1:8">
      <c r="A16" t="s">
        <v>211</v>
      </c>
      <c r="H16">
        <f>SUM(H7:H14)</f>
        <v>0</v>
      </c>
    </row>
    <row r="17" spans="1:8">
      <c r="A17" s="4" t="s">
        <v>223</v>
      </c>
      <c r="H17">
        <f>H16*1.6</f>
        <v>0</v>
      </c>
    </row>
    <row r="18" spans="1:8">
      <c r="A18" s="4" t="s">
        <v>222</v>
      </c>
      <c r="G18">
        <v>0</v>
      </c>
      <c r="H18">
        <f>G18*F18</f>
        <v>0</v>
      </c>
    </row>
    <row r="19" spans="1:8">
      <c r="A19" s="4"/>
    </row>
    <row r="20" spans="1:8" s="16" customFormat="1">
      <c r="A20" s="1" t="s">
        <v>205</v>
      </c>
      <c r="H20" s="1">
        <f>SUM(H17:H18)</f>
        <v>0</v>
      </c>
    </row>
    <row r="23" spans="1:8">
      <c r="A23" s="5"/>
    </row>
    <row r="24" spans="1:8">
      <c r="A24" s="17"/>
    </row>
  </sheetData>
  <phoneticPr fontId="2" type="noConversion"/>
  <pageMargins left="0.78740157499999996" right="0.78740157499999996" top="0.984251969" bottom="0.984251969" header="0.4921259845" footer="0.4921259845"/>
  <pageSetup paperSize="8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"/>
  <sheetViews>
    <sheetView topLeftCell="A4" workbookViewId="0">
      <selection activeCell="F22" sqref="F22"/>
    </sheetView>
  </sheetViews>
  <sheetFormatPr defaultRowHeight="12.75"/>
  <cols>
    <col min="1" max="1" width="60.28515625" customWidth="1"/>
    <col min="2" max="2" width="22.140625" customWidth="1"/>
    <col min="3" max="3" width="29.42578125" customWidth="1"/>
    <col min="4" max="4" width="7.5703125" customWidth="1"/>
    <col min="5" max="5" width="12.42578125" customWidth="1"/>
    <col min="6" max="6" width="17.42578125" customWidth="1"/>
    <col min="7" max="7" width="16" customWidth="1"/>
    <col min="8" max="8" width="10.7109375" customWidth="1"/>
  </cols>
  <sheetData>
    <row r="1" spans="1:8" s="7" customFormat="1" ht="23.25">
      <c r="A1" s="7" t="s">
        <v>30</v>
      </c>
    </row>
    <row r="2" spans="1:8" s="16" customFormat="1" ht="23.25">
      <c r="A2" s="22" t="s">
        <v>28</v>
      </c>
    </row>
    <row r="3" spans="1:8">
      <c r="A3" t="s">
        <v>155</v>
      </c>
      <c r="B3">
        <v>2</v>
      </c>
      <c r="C3" t="s">
        <v>228</v>
      </c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A5" s="1"/>
      <c r="B5" s="1"/>
      <c r="C5" s="1"/>
      <c r="D5" s="1"/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3" t="s">
        <v>238</v>
      </c>
      <c r="B6" t="s">
        <v>82</v>
      </c>
      <c r="C6" s="4" t="s">
        <v>294</v>
      </c>
      <c r="D6">
        <v>2</v>
      </c>
      <c r="F6">
        <f>(2600*400*2)/1000000</f>
        <v>2.08</v>
      </c>
      <c r="G6">
        <v>0</v>
      </c>
      <c r="H6">
        <f t="shared" ref="H6:H11" si="0">G6*F6*1.3</f>
        <v>0</v>
      </c>
    </row>
    <row r="7" spans="1:8">
      <c r="A7" s="4" t="s">
        <v>165</v>
      </c>
      <c r="B7" t="s">
        <v>82</v>
      </c>
      <c r="C7" s="4" t="s">
        <v>294</v>
      </c>
      <c r="D7">
        <v>2</v>
      </c>
      <c r="F7">
        <f>(1262*100*2)/1000000</f>
        <v>0.25240000000000001</v>
      </c>
      <c r="G7" s="4">
        <v>0</v>
      </c>
      <c r="H7">
        <f t="shared" si="0"/>
        <v>0</v>
      </c>
    </row>
    <row r="8" spans="1:8">
      <c r="A8" s="13" t="s">
        <v>239</v>
      </c>
      <c r="B8" t="s">
        <v>82</v>
      </c>
      <c r="C8" s="4" t="s">
        <v>294</v>
      </c>
      <c r="D8">
        <v>2</v>
      </c>
      <c r="F8">
        <f>(1262*400*2)/1000000</f>
        <v>1.0096000000000001</v>
      </c>
      <c r="G8" s="4">
        <v>0</v>
      </c>
      <c r="H8">
        <f t="shared" si="0"/>
        <v>0</v>
      </c>
    </row>
    <row r="9" spans="1:8">
      <c r="A9" s="13" t="s">
        <v>240</v>
      </c>
      <c r="B9" t="s">
        <v>82</v>
      </c>
      <c r="C9" s="4" t="s">
        <v>294</v>
      </c>
      <c r="D9">
        <v>4</v>
      </c>
      <c r="F9">
        <f>(1262*365*4)/1000000</f>
        <v>1.8425199999999999</v>
      </c>
      <c r="G9" s="4">
        <v>0</v>
      </c>
      <c r="H9">
        <f t="shared" si="0"/>
        <v>0</v>
      </c>
    </row>
    <row r="10" spans="1:8">
      <c r="A10" s="13" t="s">
        <v>241</v>
      </c>
      <c r="B10" t="s">
        <v>82</v>
      </c>
      <c r="C10" s="4" t="s">
        <v>294</v>
      </c>
      <c r="D10">
        <v>1</v>
      </c>
      <c r="F10">
        <f>(1262*375)/1000000</f>
        <v>0.47325</v>
      </c>
      <c r="G10" s="4">
        <v>0</v>
      </c>
      <c r="H10">
        <f t="shared" si="0"/>
        <v>0</v>
      </c>
    </row>
    <row r="11" spans="1:8">
      <c r="A11" s="4" t="s">
        <v>163</v>
      </c>
      <c r="B11" s="4" t="s">
        <v>88</v>
      </c>
      <c r="C11" s="4" t="s">
        <v>294</v>
      </c>
      <c r="D11">
        <v>1</v>
      </c>
      <c r="F11">
        <f>(1276*2476)/1000000</f>
        <v>3.159376</v>
      </c>
      <c r="G11" s="4">
        <v>0</v>
      </c>
      <c r="H11">
        <f t="shared" si="0"/>
        <v>0</v>
      </c>
    </row>
    <row r="12" spans="1:8">
      <c r="A12" s="4" t="s">
        <v>164</v>
      </c>
      <c r="B12" t="s">
        <v>5</v>
      </c>
      <c r="C12" s="4" t="s">
        <v>294</v>
      </c>
      <c r="D12">
        <v>2</v>
      </c>
      <c r="E12">
        <f>(40*20*2562)/1000000000</f>
        <v>2.0495999999999999E-3</v>
      </c>
      <c r="G12" s="4">
        <v>0</v>
      </c>
      <c r="H12">
        <f>G12*E12*1.3</f>
        <v>0</v>
      </c>
    </row>
    <row r="13" spans="1:8">
      <c r="A13" s="14" t="s">
        <v>119</v>
      </c>
      <c r="B13" t="s">
        <v>98</v>
      </c>
      <c r="C13" t="s">
        <v>100</v>
      </c>
      <c r="D13">
        <v>3</v>
      </c>
      <c r="G13">
        <v>0</v>
      </c>
      <c r="H13">
        <f t="shared" ref="H13:H18" si="1">G13*D13</f>
        <v>0</v>
      </c>
    </row>
    <row r="14" spans="1:8">
      <c r="A14" s="13" t="s">
        <v>118</v>
      </c>
      <c r="B14" s="4" t="s">
        <v>4</v>
      </c>
      <c r="C14" s="4" t="s">
        <v>4</v>
      </c>
      <c r="D14">
        <v>16</v>
      </c>
      <c r="G14" s="4">
        <v>0</v>
      </c>
      <c r="H14">
        <f t="shared" si="1"/>
        <v>0</v>
      </c>
    </row>
    <row r="15" spans="1:8">
      <c r="A15" s="13" t="s">
        <v>110</v>
      </c>
      <c r="B15" s="4" t="s">
        <v>87</v>
      </c>
      <c r="C15" s="4" t="s">
        <v>87</v>
      </c>
      <c r="D15">
        <v>2</v>
      </c>
      <c r="G15">
        <v>0</v>
      </c>
      <c r="H15">
        <f t="shared" si="1"/>
        <v>0</v>
      </c>
    </row>
    <row r="16" spans="1:8">
      <c r="A16" s="13" t="s">
        <v>93</v>
      </c>
      <c r="C16" s="4" t="s">
        <v>127</v>
      </c>
      <c r="D16">
        <v>2</v>
      </c>
      <c r="G16">
        <v>0</v>
      </c>
      <c r="H16">
        <f t="shared" si="1"/>
        <v>0</v>
      </c>
    </row>
    <row r="17" spans="1:8">
      <c r="A17" s="13" t="s">
        <v>86</v>
      </c>
      <c r="B17" t="s">
        <v>8</v>
      </c>
      <c r="C17" t="s">
        <v>8</v>
      </c>
      <c r="D17">
        <v>2</v>
      </c>
      <c r="G17">
        <v>0</v>
      </c>
      <c r="H17">
        <f t="shared" si="1"/>
        <v>0</v>
      </c>
    </row>
    <row r="18" spans="1:8">
      <c r="A18" s="13" t="s">
        <v>120</v>
      </c>
      <c r="B18" t="s">
        <v>8</v>
      </c>
      <c r="C18" t="s">
        <v>8</v>
      </c>
      <c r="D18">
        <v>2</v>
      </c>
      <c r="G18">
        <v>0</v>
      </c>
      <c r="H18">
        <f t="shared" si="1"/>
        <v>0</v>
      </c>
    </row>
    <row r="19" spans="1:8">
      <c r="A19" s="13"/>
    </row>
    <row r="20" spans="1:8">
      <c r="A20" t="s">
        <v>211</v>
      </c>
      <c r="H20">
        <f>SUM(H6:H18)</f>
        <v>0</v>
      </c>
    </row>
    <row r="21" spans="1:8">
      <c r="A21" s="4" t="s">
        <v>223</v>
      </c>
      <c r="B21" s="4"/>
      <c r="H21">
        <f>H20*1.6</f>
        <v>0</v>
      </c>
    </row>
    <row r="22" spans="1:8">
      <c r="A22" s="4" t="s">
        <v>222</v>
      </c>
      <c r="B22" s="4"/>
      <c r="G22">
        <v>0</v>
      </c>
      <c r="H22">
        <f>G22*F22</f>
        <v>0</v>
      </c>
    </row>
    <row r="23" spans="1:8">
      <c r="A23" s="4"/>
      <c r="B23" s="4"/>
    </row>
    <row r="24" spans="1:8" s="16" customFormat="1">
      <c r="A24" s="1" t="s">
        <v>205</v>
      </c>
      <c r="B24" s="1"/>
      <c r="H24" s="1">
        <f>SUM(H21:H22)</f>
        <v>0</v>
      </c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15" sqref="F15"/>
    </sheetView>
  </sheetViews>
  <sheetFormatPr defaultRowHeight="12.75"/>
  <cols>
    <col min="1" max="1" width="51.7109375" customWidth="1"/>
    <col min="2" max="2" width="23.7109375" customWidth="1"/>
    <col min="3" max="3" width="29.42578125" customWidth="1"/>
    <col min="4" max="4" width="7.7109375" customWidth="1"/>
    <col min="5" max="5" width="11.85546875" customWidth="1"/>
    <col min="6" max="6" width="20.28515625" customWidth="1"/>
    <col min="7" max="7" width="17.28515625" customWidth="1"/>
    <col min="8" max="8" width="10.42578125" customWidth="1"/>
  </cols>
  <sheetData>
    <row r="1" spans="1:8" s="7" customFormat="1" ht="23.25">
      <c r="A1" s="7" t="s">
        <v>29</v>
      </c>
    </row>
    <row r="2" spans="1:8" s="16" customFormat="1" ht="23.25">
      <c r="A2" s="22" t="s">
        <v>31</v>
      </c>
    </row>
    <row r="3" spans="1:8">
      <c r="A3" t="s">
        <v>155</v>
      </c>
      <c r="B3">
        <v>1</v>
      </c>
      <c r="C3" t="s">
        <v>228</v>
      </c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4" t="s">
        <v>242</v>
      </c>
      <c r="B6" s="4" t="s">
        <v>82</v>
      </c>
      <c r="C6" s="4" t="s">
        <v>294</v>
      </c>
      <c r="D6">
        <v>1</v>
      </c>
      <c r="F6">
        <f>(2800*700)/1000000</f>
        <v>1.96</v>
      </c>
      <c r="G6" s="4">
        <v>0</v>
      </c>
      <c r="H6">
        <f>G6*1.3*F6</f>
        <v>0</v>
      </c>
    </row>
    <row r="7" spans="1:8">
      <c r="A7" s="4" t="s">
        <v>243</v>
      </c>
      <c r="B7" s="4" t="s">
        <v>82</v>
      </c>
      <c r="C7" s="4" t="s">
        <v>294</v>
      </c>
      <c r="D7">
        <v>2</v>
      </c>
      <c r="F7">
        <f>(2560*81*2)/1000000</f>
        <v>0.41471999999999998</v>
      </c>
      <c r="G7" s="4">
        <v>0</v>
      </c>
      <c r="H7">
        <f>G7*1.3*F7</f>
        <v>0</v>
      </c>
    </row>
    <row r="8" spans="1:8">
      <c r="A8" s="4" t="s">
        <v>244</v>
      </c>
      <c r="B8" s="4" t="s">
        <v>82</v>
      </c>
      <c r="C8" s="4" t="s">
        <v>294</v>
      </c>
      <c r="D8">
        <v>2</v>
      </c>
      <c r="F8">
        <f>(460*81*2)/1000000</f>
        <v>7.4520000000000003E-2</v>
      </c>
      <c r="G8" s="4">
        <v>0</v>
      </c>
      <c r="H8">
        <f>G8*1.3*F8</f>
        <v>0</v>
      </c>
    </row>
    <row r="9" spans="1:8">
      <c r="A9" s="4" t="s">
        <v>245</v>
      </c>
      <c r="B9" s="4" t="s">
        <v>82</v>
      </c>
      <c r="C9" s="4" t="s">
        <v>294</v>
      </c>
      <c r="D9">
        <v>1</v>
      </c>
      <c r="F9">
        <f>(524*81)/1000000</f>
        <v>4.2444000000000003E-2</v>
      </c>
      <c r="G9" s="4">
        <v>0</v>
      </c>
      <c r="H9">
        <f>G9*1.3*F9</f>
        <v>0</v>
      </c>
    </row>
    <row r="10" spans="1:8">
      <c r="A10" s="13" t="s">
        <v>166</v>
      </c>
      <c r="B10" t="s">
        <v>5</v>
      </c>
      <c r="C10" s="4" t="s">
        <v>294</v>
      </c>
      <c r="D10" s="13">
        <v>4</v>
      </c>
      <c r="E10" s="13">
        <f>(80*80*731*4)/1000000000</f>
        <v>1.87136E-2</v>
      </c>
      <c r="F10" s="13"/>
      <c r="G10" s="4">
        <v>0</v>
      </c>
      <c r="H10">
        <f>G10*1.3*E10</f>
        <v>0</v>
      </c>
    </row>
    <row r="11" spans="1:8">
      <c r="A11" s="4" t="s">
        <v>110</v>
      </c>
      <c r="B11" s="4" t="s">
        <v>87</v>
      </c>
      <c r="C11" t="s">
        <v>112</v>
      </c>
      <c r="D11" s="13">
        <v>4</v>
      </c>
      <c r="G11" s="4">
        <v>0</v>
      </c>
      <c r="H11">
        <f>G11*D11</f>
        <v>0</v>
      </c>
    </row>
    <row r="13" spans="1:8">
      <c r="A13" t="s">
        <v>211</v>
      </c>
      <c r="H13">
        <f>SUM(H6:H11)</f>
        <v>0</v>
      </c>
    </row>
    <row r="14" spans="1:8">
      <c r="A14" s="4" t="s">
        <v>223</v>
      </c>
      <c r="H14">
        <f>H13*1.6</f>
        <v>0</v>
      </c>
    </row>
    <row r="15" spans="1:8">
      <c r="A15" s="4" t="s">
        <v>222</v>
      </c>
      <c r="G15">
        <v>0</v>
      </c>
      <c r="H15">
        <f>G15*F15</f>
        <v>0</v>
      </c>
    </row>
    <row r="16" spans="1:8">
      <c r="A16" s="4"/>
    </row>
    <row r="17" spans="1:8" s="16" customFormat="1">
      <c r="A17" s="1" t="s">
        <v>205</v>
      </c>
      <c r="H17" s="1">
        <f>SUM(H14:H15)</f>
        <v>0</v>
      </c>
    </row>
    <row r="21" spans="1:8">
      <c r="A21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9"/>
  <sheetViews>
    <sheetView topLeftCell="A7" workbookViewId="0">
      <selection activeCell="F33" sqref="F33"/>
    </sheetView>
  </sheetViews>
  <sheetFormatPr defaultRowHeight="12.75"/>
  <cols>
    <col min="1" max="1" width="55.85546875" customWidth="1"/>
    <col min="2" max="2" width="17.85546875" customWidth="1"/>
    <col min="3" max="3" width="29.140625" customWidth="1"/>
    <col min="4" max="4" width="8" customWidth="1"/>
    <col min="5" max="5" width="14.7109375" customWidth="1"/>
    <col min="6" max="6" width="15.7109375" customWidth="1"/>
    <col min="7" max="7" width="18.42578125" customWidth="1"/>
  </cols>
  <sheetData>
    <row r="1" spans="1:9" s="7" customFormat="1" ht="23.25">
      <c r="A1" s="7" t="s">
        <v>32</v>
      </c>
    </row>
    <row r="2" spans="1:9" s="16" customFormat="1" ht="23.25">
      <c r="A2" s="22" t="s">
        <v>80</v>
      </c>
    </row>
    <row r="3" spans="1:9">
      <c r="A3" t="s">
        <v>155</v>
      </c>
      <c r="B3">
        <v>1</v>
      </c>
      <c r="C3" t="s">
        <v>228</v>
      </c>
    </row>
    <row r="4" spans="1:9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  <c r="I4" s="1" t="s">
        <v>83</v>
      </c>
    </row>
    <row r="5" spans="1:9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9">
      <c r="A6" s="13" t="s">
        <v>207</v>
      </c>
      <c r="B6" s="4" t="s">
        <v>82</v>
      </c>
      <c r="C6" s="4" t="s">
        <v>294</v>
      </c>
      <c r="D6">
        <v>1</v>
      </c>
      <c r="F6">
        <f>(2462*406)/1000000</f>
        <v>0.99957200000000002</v>
      </c>
      <c r="G6" s="4">
        <v>0</v>
      </c>
      <c r="H6">
        <f>G6*1.3*F6</f>
        <v>0</v>
      </c>
    </row>
    <row r="7" spans="1:9">
      <c r="A7" s="13" t="s">
        <v>208</v>
      </c>
      <c r="B7" s="4" t="s">
        <v>82</v>
      </c>
      <c r="C7" s="4" t="s">
        <v>294</v>
      </c>
      <c r="D7">
        <v>2</v>
      </c>
      <c r="F7">
        <f>(2500*431*2)/1000000</f>
        <v>2.1549999999999998</v>
      </c>
      <c r="G7" s="4">
        <v>0</v>
      </c>
      <c r="H7">
        <f t="shared" ref="H7:H16" si="0">G7*1.3*F7</f>
        <v>0</v>
      </c>
    </row>
    <row r="8" spans="1:9">
      <c r="A8" s="13" t="s">
        <v>209</v>
      </c>
      <c r="B8" s="4" t="s">
        <v>82</v>
      </c>
      <c r="C8" s="4" t="s">
        <v>294</v>
      </c>
      <c r="D8">
        <v>2</v>
      </c>
      <c r="F8">
        <f>(962*431*2)/1000000</f>
        <v>0.82924399999999998</v>
      </c>
      <c r="G8" s="4">
        <v>0</v>
      </c>
      <c r="H8">
        <f t="shared" si="0"/>
        <v>0</v>
      </c>
    </row>
    <row r="9" spans="1:9">
      <c r="A9" s="4" t="s">
        <v>168</v>
      </c>
      <c r="B9" s="4" t="s">
        <v>88</v>
      </c>
      <c r="C9" s="4" t="s">
        <v>294</v>
      </c>
      <c r="D9">
        <v>1</v>
      </c>
      <c r="F9">
        <f>(2476*976)/1000000</f>
        <v>2.4165760000000001</v>
      </c>
      <c r="G9" s="4">
        <v>0</v>
      </c>
      <c r="H9">
        <f t="shared" si="0"/>
        <v>0</v>
      </c>
    </row>
    <row r="10" spans="1:9">
      <c r="A10" s="13" t="s">
        <v>210</v>
      </c>
      <c r="B10" s="4" t="s">
        <v>82</v>
      </c>
      <c r="C10" s="4" t="s">
        <v>294</v>
      </c>
      <c r="D10">
        <v>10</v>
      </c>
      <c r="F10">
        <f>(10*471*396)/1000000</f>
        <v>1.8651599999999999</v>
      </c>
      <c r="G10" s="4">
        <v>0</v>
      </c>
      <c r="H10">
        <f t="shared" si="0"/>
        <v>0</v>
      </c>
    </row>
    <row r="11" spans="1:9">
      <c r="A11" t="s">
        <v>172</v>
      </c>
      <c r="B11" s="4" t="s">
        <v>82</v>
      </c>
      <c r="C11" s="4" t="s">
        <v>294</v>
      </c>
      <c r="D11">
        <v>2</v>
      </c>
      <c r="F11">
        <f>(2500*500*2)/1000000</f>
        <v>2.5</v>
      </c>
      <c r="G11" s="4">
        <v>0</v>
      </c>
      <c r="H11">
        <f t="shared" si="0"/>
        <v>0</v>
      </c>
    </row>
    <row r="12" spans="1:9">
      <c r="A12" s="13" t="s">
        <v>169</v>
      </c>
      <c r="B12" t="s">
        <v>82</v>
      </c>
      <c r="C12" s="4" t="s">
        <v>294</v>
      </c>
      <c r="D12">
        <v>1</v>
      </c>
      <c r="F12">
        <f>(471*150)/1000000</f>
        <v>7.0650000000000004E-2</v>
      </c>
      <c r="G12" s="4">
        <v>0</v>
      </c>
      <c r="H12">
        <f t="shared" si="0"/>
        <v>0</v>
      </c>
    </row>
    <row r="13" spans="1:9">
      <c r="A13" s="13" t="s">
        <v>170</v>
      </c>
      <c r="B13" t="s">
        <v>82</v>
      </c>
      <c r="C13" s="4" t="s">
        <v>294</v>
      </c>
      <c r="D13">
        <v>1</v>
      </c>
      <c r="F13">
        <f>(471*1050)/1000000</f>
        <v>0.49454999999999999</v>
      </c>
      <c r="G13" s="4">
        <v>0</v>
      </c>
      <c r="H13">
        <f t="shared" si="0"/>
        <v>0</v>
      </c>
    </row>
    <row r="14" spans="1:9">
      <c r="A14" s="13" t="s">
        <v>171</v>
      </c>
      <c r="B14" t="s">
        <v>82</v>
      </c>
      <c r="C14" s="4" t="s">
        <v>294</v>
      </c>
      <c r="D14">
        <v>1</v>
      </c>
      <c r="F14">
        <f>(471*724)/1000000</f>
        <v>0.34100399999999997</v>
      </c>
      <c r="G14" s="4">
        <v>0</v>
      </c>
      <c r="H14">
        <f t="shared" si="0"/>
        <v>0</v>
      </c>
    </row>
    <row r="15" spans="1:9">
      <c r="A15" s="4" t="s">
        <v>173</v>
      </c>
      <c r="B15" s="4" t="s">
        <v>82</v>
      </c>
      <c r="C15" s="4" t="s">
        <v>294</v>
      </c>
      <c r="D15">
        <v>2</v>
      </c>
      <c r="F15">
        <f>(882*100*2)/1000000</f>
        <v>0.1764</v>
      </c>
      <c r="G15" s="4">
        <v>0</v>
      </c>
      <c r="H15">
        <f t="shared" si="0"/>
        <v>0</v>
      </c>
    </row>
    <row r="16" spans="1:9">
      <c r="A16" s="4" t="s">
        <v>174</v>
      </c>
      <c r="B16" t="s">
        <v>82</v>
      </c>
      <c r="C16" s="4" t="s">
        <v>294</v>
      </c>
      <c r="D16">
        <v>2</v>
      </c>
      <c r="F16">
        <f>(410*100*2)/1000000</f>
        <v>8.2000000000000003E-2</v>
      </c>
      <c r="G16" s="4">
        <v>0</v>
      </c>
      <c r="H16">
        <f t="shared" si="0"/>
        <v>0</v>
      </c>
    </row>
    <row r="17" spans="1:8">
      <c r="A17" s="4" t="s">
        <v>175</v>
      </c>
      <c r="B17" t="s">
        <v>5</v>
      </c>
      <c r="C17" s="4" t="s">
        <v>294</v>
      </c>
      <c r="D17">
        <v>1</v>
      </c>
      <c r="E17">
        <f>(80*20*962)/1000000000</f>
        <v>1.5391999999999999E-3</v>
      </c>
      <c r="G17" s="4">
        <v>0</v>
      </c>
      <c r="H17">
        <f>G17*1.3*E17</f>
        <v>0</v>
      </c>
    </row>
    <row r="18" spans="1:8">
      <c r="A18" s="13" t="s">
        <v>110</v>
      </c>
      <c r="B18" s="4" t="s">
        <v>87</v>
      </c>
      <c r="C18" t="s">
        <v>112</v>
      </c>
      <c r="D18">
        <v>4</v>
      </c>
      <c r="G18" s="4">
        <v>0</v>
      </c>
      <c r="H18">
        <f>G18*D18</f>
        <v>0</v>
      </c>
    </row>
    <row r="19" spans="1:8">
      <c r="A19" s="13" t="s">
        <v>113</v>
      </c>
      <c r="B19" s="4" t="s">
        <v>85</v>
      </c>
      <c r="C19" s="4" t="s">
        <v>85</v>
      </c>
      <c r="D19">
        <v>5</v>
      </c>
      <c r="G19" s="4">
        <v>0</v>
      </c>
      <c r="H19">
        <f t="shared" ref="H19:H29" si="1">G19*D19</f>
        <v>0</v>
      </c>
    </row>
    <row r="20" spans="1:8">
      <c r="A20" s="13" t="s">
        <v>114</v>
      </c>
      <c r="B20" s="4" t="s">
        <v>85</v>
      </c>
      <c r="C20" s="4" t="s">
        <v>85</v>
      </c>
      <c r="D20">
        <v>5</v>
      </c>
      <c r="G20" s="4">
        <v>0</v>
      </c>
      <c r="H20">
        <f t="shared" si="1"/>
        <v>0</v>
      </c>
    </row>
    <row r="21" spans="1:8">
      <c r="A21" s="13" t="s">
        <v>115</v>
      </c>
      <c r="B21" s="4" t="s">
        <v>85</v>
      </c>
      <c r="C21" s="4" t="s">
        <v>85</v>
      </c>
      <c r="D21">
        <v>1</v>
      </c>
      <c r="G21" s="4">
        <v>0</v>
      </c>
      <c r="H21">
        <f t="shared" si="1"/>
        <v>0</v>
      </c>
    </row>
    <row r="22" spans="1:8">
      <c r="A22" s="13" t="s">
        <v>116</v>
      </c>
      <c r="B22" s="4" t="s">
        <v>85</v>
      </c>
      <c r="C22" s="4" t="s">
        <v>85</v>
      </c>
      <c r="D22">
        <v>1</v>
      </c>
      <c r="G22" s="4">
        <v>0</v>
      </c>
      <c r="H22">
        <f t="shared" si="1"/>
        <v>0</v>
      </c>
    </row>
    <row r="23" spans="1:8">
      <c r="A23" s="13" t="s">
        <v>117</v>
      </c>
      <c r="B23" s="4" t="s">
        <v>4</v>
      </c>
      <c r="C23" t="s">
        <v>4</v>
      </c>
      <c r="D23">
        <v>2</v>
      </c>
      <c r="G23" s="4">
        <v>0</v>
      </c>
      <c r="H23">
        <f t="shared" si="1"/>
        <v>0</v>
      </c>
    </row>
    <row r="24" spans="1:8">
      <c r="A24" s="13" t="s">
        <v>84</v>
      </c>
      <c r="B24" s="4" t="s">
        <v>4</v>
      </c>
      <c r="C24" s="4" t="s">
        <v>4</v>
      </c>
      <c r="D24">
        <v>2</v>
      </c>
      <c r="G24" s="4">
        <v>0</v>
      </c>
      <c r="H24">
        <f t="shared" si="1"/>
        <v>0</v>
      </c>
    </row>
    <row r="25" spans="1:8">
      <c r="A25" s="4" t="s">
        <v>93</v>
      </c>
      <c r="D25">
        <v>2</v>
      </c>
      <c r="G25" s="4">
        <v>0</v>
      </c>
      <c r="H25">
        <f t="shared" si="1"/>
        <v>0</v>
      </c>
    </row>
    <row r="26" spans="1:8">
      <c r="A26" s="4" t="s">
        <v>86</v>
      </c>
      <c r="B26" t="s">
        <v>8</v>
      </c>
      <c r="C26" t="s">
        <v>8</v>
      </c>
      <c r="D26">
        <v>2</v>
      </c>
      <c r="G26" s="4">
        <v>0</v>
      </c>
      <c r="H26">
        <f t="shared" si="1"/>
        <v>0</v>
      </c>
    </row>
    <row r="27" spans="1:8">
      <c r="A27" s="13" t="s">
        <v>94</v>
      </c>
      <c r="B27" t="s">
        <v>98</v>
      </c>
      <c r="C27" t="s">
        <v>100</v>
      </c>
      <c r="D27">
        <v>2</v>
      </c>
      <c r="G27" s="4">
        <v>0</v>
      </c>
      <c r="H27">
        <f t="shared" si="1"/>
        <v>0</v>
      </c>
    </row>
    <row r="28" spans="1:8">
      <c r="A28" s="13" t="s">
        <v>118</v>
      </c>
      <c r="D28">
        <v>40</v>
      </c>
      <c r="G28" s="4">
        <v>0</v>
      </c>
      <c r="H28">
        <f t="shared" si="1"/>
        <v>0</v>
      </c>
    </row>
    <row r="29" spans="1:8">
      <c r="A29" s="13" t="s">
        <v>167</v>
      </c>
      <c r="B29" s="4" t="s">
        <v>98</v>
      </c>
      <c r="C29" t="s">
        <v>98</v>
      </c>
      <c r="D29">
        <v>2</v>
      </c>
      <c r="G29" s="4">
        <v>0</v>
      </c>
      <c r="H29">
        <f t="shared" si="1"/>
        <v>0</v>
      </c>
    </row>
    <row r="31" spans="1:8">
      <c r="A31" t="s">
        <v>211</v>
      </c>
      <c r="H31">
        <f>SUM(H6:H29)</f>
        <v>0</v>
      </c>
    </row>
    <row r="32" spans="1:8">
      <c r="A32" s="4" t="s">
        <v>223</v>
      </c>
      <c r="H32">
        <f>H31*1.6</f>
        <v>0</v>
      </c>
    </row>
    <row r="33" spans="1:8">
      <c r="A33" s="4" t="s">
        <v>222</v>
      </c>
      <c r="G33">
        <v>0</v>
      </c>
      <c r="H33">
        <f>G33*F33</f>
        <v>0</v>
      </c>
    </row>
    <row r="34" spans="1:8">
      <c r="A34" s="4"/>
    </row>
    <row r="35" spans="1:8" s="16" customFormat="1">
      <c r="A35" s="1" t="s">
        <v>205</v>
      </c>
      <c r="H35" s="16">
        <f>SUM(H32:H34)</f>
        <v>0</v>
      </c>
    </row>
    <row r="39" spans="1:8">
      <c r="A39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A16" sqref="A16"/>
    </sheetView>
  </sheetViews>
  <sheetFormatPr defaultRowHeight="12.75"/>
  <cols>
    <col min="1" max="1" width="61.28515625" customWidth="1"/>
    <col min="2" max="2" width="20" customWidth="1"/>
    <col min="3" max="3" width="29.28515625" customWidth="1"/>
    <col min="4" max="4" width="7.28515625" customWidth="1"/>
    <col min="5" max="6" width="14" customWidth="1"/>
    <col min="7" max="7" width="19.140625" customWidth="1"/>
  </cols>
  <sheetData>
    <row r="1" spans="1:9" ht="23.25">
      <c r="A1" s="7" t="s">
        <v>73</v>
      </c>
      <c r="B1" s="7"/>
      <c r="C1" s="7"/>
      <c r="D1" s="7"/>
      <c r="E1" s="7"/>
      <c r="F1" s="7"/>
      <c r="G1" s="7"/>
      <c r="H1" s="7"/>
      <c r="I1" s="7"/>
    </row>
    <row r="2" spans="1:9" s="16" customFormat="1" ht="23.25">
      <c r="A2" s="22" t="s">
        <v>72</v>
      </c>
    </row>
    <row r="3" spans="1:9">
      <c r="A3" t="s">
        <v>155</v>
      </c>
      <c r="B3">
        <v>3</v>
      </c>
      <c r="C3" t="s">
        <v>228</v>
      </c>
    </row>
    <row r="4" spans="1:9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9" s="16" customFormat="1">
      <c r="A5" s="27"/>
      <c r="E5" s="1" t="s">
        <v>213</v>
      </c>
      <c r="F5" s="1" t="s">
        <v>215</v>
      </c>
      <c r="G5" s="1" t="s">
        <v>225</v>
      </c>
      <c r="H5" s="1" t="s">
        <v>217</v>
      </c>
    </row>
    <row r="6" spans="1:9">
      <c r="A6" s="13" t="s">
        <v>176</v>
      </c>
      <c r="B6" t="s">
        <v>82</v>
      </c>
      <c r="C6" s="4" t="s">
        <v>294</v>
      </c>
      <c r="D6">
        <v>1</v>
      </c>
      <c r="F6">
        <f>(2*500*900)/1000000</f>
        <v>0.9</v>
      </c>
      <c r="G6" s="4">
        <v>0</v>
      </c>
      <c r="H6">
        <f>G6*1.3*F6</f>
        <v>0</v>
      </c>
    </row>
    <row r="7" spans="1:9">
      <c r="A7" s="13" t="s">
        <v>177</v>
      </c>
      <c r="B7" t="s">
        <v>82</v>
      </c>
      <c r="C7" s="4" t="s">
        <v>294</v>
      </c>
      <c r="D7">
        <v>1</v>
      </c>
      <c r="F7">
        <f>(256246*2)/1000000</f>
        <v>0.51249199999999995</v>
      </c>
      <c r="G7" s="4">
        <v>0</v>
      </c>
      <c r="H7">
        <f t="shared" ref="H7:H13" si="0">G7*1.3*F7</f>
        <v>0</v>
      </c>
    </row>
    <row r="8" spans="1:9">
      <c r="A8" s="13" t="s">
        <v>183</v>
      </c>
      <c r="B8" t="s">
        <v>5</v>
      </c>
      <c r="C8" s="4" t="s">
        <v>294</v>
      </c>
      <c r="D8">
        <v>1</v>
      </c>
      <c r="E8">
        <f>(1620*40*40)/1000000000</f>
        <v>2.5920000000000001E-3</v>
      </c>
      <c r="G8" s="4">
        <v>0</v>
      </c>
      <c r="H8">
        <f>G8*1.3*E8</f>
        <v>0</v>
      </c>
    </row>
    <row r="9" spans="1:9">
      <c r="A9" s="4" t="s">
        <v>178</v>
      </c>
      <c r="B9" t="s">
        <v>82</v>
      </c>
      <c r="C9" s="4" t="s">
        <v>294</v>
      </c>
      <c r="D9">
        <v>1</v>
      </c>
      <c r="F9">
        <f>(1620*660)/1000000</f>
        <v>1.0691999999999999</v>
      </c>
      <c r="G9" s="4">
        <v>0</v>
      </c>
      <c r="H9">
        <f t="shared" si="0"/>
        <v>0</v>
      </c>
    </row>
    <row r="10" spans="1:9">
      <c r="A10" s="4" t="s">
        <v>179</v>
      </c>
      <c r="B10" t="s">
        <v>82</v>
      </c>
      <c r="C10" s="4" t="s">
        <v>294</v>
      </c>
      <c r="D10">
        <v>1</v>
      </c>
      <c r="F10">
        <f>(1620*414)/1000000</f>
        <v>0.67068000000000005</v>
      </c>
      <c r="G10" s="4">
        <v>0</v>
      </c>
      <c r="H10">
        <f t="shared" si="0"/>
        <v>0</v>
      </c>
    </row>
    <row r="11" spans="1:9">
      <c r="A11" s="4" t="s">
        <v>180</v>
      </c>
      <c r="B11" t="s">
        <v>82</v>
      </c>
      <c r="C11" s="4" t="s">
        <v>294</v>
      </c>
      <c r="D11">
        <v>1</v>
      </c>
      <c r="F11">
        <f>(1620*441)/1000000</f>
        <v>0.71442000000000005</v>
      </c>
      <c r="G11" s="4">
        <v>0</v>
      </c>
      <c r="H11">
        <f t="shared" si="0"/>
        <v>0</v>
      </c>
    </row>
    <row r="12" spans="1:9">
      <c r="A12" s="13" t="s">
        <v>184</v>
      </c>
      <c r="B12" t="s">
        <v>5</v>
      </c>
      <c r="C12" s="4" t="s">
        <v>294</v>
      </c>
      <c r="D12">
        <v>1</v>
      </c>
      <c r="E12">
        <f>(1620*40*40)/1000000000</f>
        <v>2.5920000000000001E-3</v>
      </c>
      <c r="G12" s="4">
        <v>0</v>
      </c>
      <c r="H12">
        <f>G12*1.3*E12</f>
        <v>0</v>
      </c>
    </row>
    <row r="13" spans="1:9">
      <c r="A13" s="4" t="s">
        <v>182</v>
      </c>
      <c r="B13" t="s">
        <v>82</v>
      </c>
      <c r="C13" s="4" t="s">
        <v>294</v>
      </c>
      <c r="D13">
        <v>1</v>
      </c>
      <c r="F13">
        <f>(1620*70)/1000000</f>
        <v>0.1134</v>
      </c>
      <c r="G13" s="4">
        <v>0</v>
      </c>
      <c r="H13">
        <f t="shared" si="0"/>
        <v>0</v>
      </c>
    </row>
    <row r="14" spans="1:9">
      <c r="A14" s="4" t="s">
        <v>181</v>
      </c>
      <c r="B14" t="s">
        <v>5</v>
      </c>
      <c r="C14" s="4" t="s">
        <v>294</v>
      </c>
      <c r="D14">
        <v>1</v>
      </c>
      <c r="E14">
        <f>(40*21*441)/1000000000</f>
        <v>3.7043999999999998E-4</v>
      </c>
      <c r="G14" s="4">
        <v>0</v>
      </c>
      <c r="H14">
        <f>G14*1.3*E14</f>
        <v>0</v>
      </c>
    </row>
    <row r="15" spans="1:9">
      <c r="A15" s="4" t="s">
        <v>110</v>
      </c>
      <c r="B15" s="4" t="s">
        <v>87</v>
      </c>
      <c r="C15" s="4" t="s">
        <v>87</v>
      </c>
      <c r="D15">
        <v>4</v>
      </c>
      <c r="G15" s="4">
        <v>0</v>
      </c>
      <c r="H15">
        <f>G15*D15</f>
        <v>0</v>
      </c>
    </row>
    <row r="16" spans="1:9">
      <c r="A16" s="4" t="s">
        <v>305</v>
      </c>
      <c r="B16" s="4"/>
      <c r="G16" s="4"/>
    </row>
    <row r="17" spans="1:8">
      <c r="A17" s="4"/>
      <c r="B17" s="4"/>
      <c r="G17" s="4"/>
    </row>
    <row r="18" spans="1:8">
      <c r="A18" t="s">
        <v>211</v>
      </c>
      <c r="H18">
        <f>SUM(H6:H15)</f>
        <v>0</v>
      </c>
    </row>
    <row r="19" spans="1:8">
      <c r="A19" s="4" t="s">
        <v>223</v>
      </c>
      <c r="H19">
        <f>H18*1.6</f>
        <v>0</v>
      </c>
    </row>
    <row r="20" spans="1:8">
      <c r="A20" s="4" t="s">
        <v>222</v>
      </c>
      <c r="G20">
        <v>0</v>
      </c>
      <c r="H20">
        <f>G20*F20</f>
        <v>0</v>
      </c>
    </row>
    <row r="21" spans="1:8">
      <c r="A21" s="4"/>
    </row>
    <row r="22" spans="1:8" s="16" customFormat="1">
      <c r="A22" s="1" t="s">
        <v>205</v>
      </c>
      <c r="H22" s="1">
        <f>SUM(H19:H20)</f>
        <v>0</v>
      </c>
    </row>
    <row r="27" spans="1:8">
      <c r="A27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F19" sqref="F19"/>
    </sheetView>
  </sheetViews>
  <sheetFormatPr defaultRowHeight="12.75"/>
  <cols>
    <col min="1" max="1" width="60.5703125" customWidth="1"/>
    <col min="2" max="2" width="18" customWidth="1"/>
    <col min="3" max="3" width="30.42578125" customWidth="1"/>
    <col min="4" max="4" width="7.42578125" customWidth="1"/>
    <col min="5" max="5" width="12.7109375" customWidth="1"/>
    <col min="6" max="6" width="16.5703125" bestFit="1" customWidth="1"/>
    <col min="7" max="7" width="16.5703125" customWidth="1"/>
  </cols>
  <sheetData>
    <row r="1" spans="1:8" ht="23.25">
      <c r="A1" s="7" t="s">
        <v>75</v>
      </c>
      <c r="B1" s="7"/>
      <c r="C1" s="7"/>
      <c r="D1" s="7"/>
      <c r="E1" s="7"/>
      <c r="F1" s="7"/>
      <c r="G1" s="7"/>
      <c r="H1" s="7"/>
    </row>
    <row r="2" spans="1:8" s="16" customFormat="1" ht="23.25">
      <c r="A2" s="22" t="s">
        <v>74</v>
      </c>
    </row>
    <row r="3" spans="1:8">
      <c r="A3" t="s">
        <v>155</v>
      </c>
      <c r="B3">
        <v>3</v>
      </c>
      <c r="C3" t="s">
        <v>228</v>
      </c>
    </row>
    <row r="4" spans="1:8" s="16" customFormat="1">
      <c r="A4" s="1" t="s">
        <v>1</v>
      </c>
      <c r="B4" s="1" t="s">
        <v>3</v>
      </c>
      <c r="C4" s="1" t="s">
        <v>2</v>
      </c>
      <c r="D4" s="1" t="s">
        <v>38</v>
      </c>
      <c r="E4" s="1" t="s">
        <v>212</v>
      </c>
      <c r="F4" s="1" t="s">
        <v>214</v>
      </c>
      <c r="G4" s="1" t="s">
        <v>218</v>
      </c>
      <c r="H4" s="1" t="s">
        <v>0</v>
      </c>
    </row>
    <row r="5" spans="1:8" s="16" customFormat="1">
      <c r="E5" s="1" t="s">
        <v>213</v>
      </c>
      <c r="F5" s="1" t="s">
        <v>215</v>
      </c>
      <c r="G5" s="1" t="s">
        <v>225</v>
      </c>
      <c r="H5" s="1" t="s">
        <v>217</v>
      </c>
    </row>
    <row r="6" spans="1:8">
      <c r="A6" s="13" t="s">
        <v>176</v>
      </c>
      <c r="B6" t="s">
        <v>82</v>
      </c>
      <c r="C6" s="4" t="s">
        <v>294</v>
      </c>
      <c r="D6">
        <v>1</v>
      </c>
      <c r="F6">
        <f>(2*500*900)/1000000</f>
        <v>0.9</v>
      </c>
      <c r="G6" s="4">
        <v>0</v>
      </c>
      <c r="H6">
        <f>G6*1.3*F6</f>
        <v>0</v>
      </c>
    </row>
    <row r="7" spans="1:8">
      <c r="A7" s="13" t="s">
        <v>177</v>
      </c>
      <c r="B7" t="s">
        <v>82</v>
      </c>
      <c r="C7" s="4" t="s">
        <v>294</v>
      </c>
      <c r="D7">
        <v>1</v>
      </c>
      <c r="F7">
        <f>(256246*2)/1000000</f>
        <v>0.51249199999999995</v>
      </c>
      <c r="G7" s="4">
        <v>0</v>
      </c>
      <c r="H7">
        <f t="shared" ref="H7:H13" si="0">G7*1.3*F7</f>
        <v>0</v>
      </c>
    </row>
    <row r="8" spans="1:8">
      <c r="A8" s="13" t="s">
        <v>183</v>
      </c>
      <c r="B8" t="s">
        <v>5</v>
      </c>
      <c r="C8" s="4" t="s">
        <v>294</v>
      </c>
      <c r="D8">
        <v>1</v>
      </c>
      <c r="E8">
        <f>(1620*40*40)/1000000000</f>
        <v>2.5920000000000001E-3</v>
      </c>
      <c r="G8" s="4">
        <v>0</v>
      </c>
      <c r="H8">
        <f>G8*1.3*E8</f>
        <v>0</v>
      </c>
    </row>
    <row r="9" spans="1:8">
      <c r="A9" s="4" t="s">
        <v>178</v>
      </c>
      <c r="B9" t="s">
        <v>82</v>
      </c>
      <c r="C9" s="4" t="s">
        <v>294</v>
      </c>
      <c r="D9">
        <v>1</v>
      </c>
      <c r="F9">
        <f>(1620*660)/1000000</f>
        <v>1.0691999999999999</v>
      </c>
      <c r="G9" s="4">
        <v>0</v>
      </c>
      <c r="H9">
        <f t="shared" si="0"/>
        <v>0</v>
      </c>
    </row>
    <row r="10" spans="1:8">
      <c r="A10" s="4" t="s">
        <v>179</v>
      </c>
      <c r="B10" t="s">
        <v>82</v>
      </c>
      <c r="C10" s="4" t="s">
        <v>294</v>
      </c>
      <c r="D10">
        <v>1</v>
      </c>
      <c r="F10">
        <f>(1620*414)/1000000</f>
        <v>0.67068000000000005</v>
      </c>
      <c r="G10" s="4">
        <v>0</v>
      </c>
      <c r="H10">
        <f t="shared" si="0"/>
        <v>0</v>
      </c>
    </row>
    <row r="11" spans="1:8">
      <c r="A11" s="4" t="s">
        <v>180</v>
      </c>
      <c r="B11" t="s">
        <v>82</v>
      </c>
      <c r="C11" s="4" t="s">
        <v>294</v>
      </c>
      <c r="D11">
        <v>1</v>
      </c>
      <c r="F11">
        <f>(1620*441)/1000000</f>
        <v>0.71442000000000005</v>
      </c>
      <c r="G11" s="4">
        <v>0</v>
      </c>
      <c r="H11">
        <f t="shared" si="0"/>
        <v>0</v>
      </c>
    </row>
    <row r="12" spans="1:8">
      <c r="A12" s="13" t="s">
        <v>184</v>
      </c>
      <c r="B12" t="s">
        <v>5</v>
      </c>
      <c r="C12" s="4" t="s">
        <v>294</v>
      </c>
      <c r="D12">
        <v>1</v>
      </c>
      <c r="E12">
        <f>(1620*40*40)/1000000000</f>
        <v>2.5920000000000001E-3</v>
      </c>
      <c r="G12" s="4">
        <v>0</v>
      </c>
      <c r="H12">
        <f>G12*1.3*E12</f>
        <v>0</v>
      </c>
    </row>
    <row r="13" spans="1:8">
      <c r="A13" s="4" t="s">
        <v>182</v>
      </c>
      <c r="B13" t="s">
        <v>82</v>
      </c>
      <c r="C13" s="4" t="s">
        <v>294</v>
      </c>
      <c r="D13">
        <v>1</v>
      </c>
      <c r="F13">
        <f>(1620*70)/1000000</f>
        <v>0.1134</v>
      </c>
      <c r="G13" s="4">
        <v>0</v>
      </c>
      <c r="H13">
        <f t="shared" si="0"/>
        <v>0</v>
      </c>
    </row>
    <row r="14" spans="1:8">
      <c r="A14" s="4" t="s">
        <v>181</v>
      </c>
      <c r="B14" t="s">
        <v>5</v>
      </c>
      <c r="C14" s="4" t="s">
        <v>294</v>
      </c>
      <c r="D14">
        <v>1</v>
      </c>
      <c r="E14">
        <f>(40*21*441)/1000000000</f>
        <v>3.7043999999999998E-4</v>
      </c>
      <c r="G14" s="4">
        <v>0</v>
      </c>
      <c r="H14">
        <f>G14*1.3*E14</f>
        <v>0</v>
      </c>
    </row>
    <row r="15" spans="1:8">
      <c r="A15" s="4" t="s">
        <v>110</v>
      </c>
      <c r="B15" s="4" t="s">
        <v>87</v>
      </c>
      <c r="C15" s="4" t="s">
        <v>87</v>
      </c>
      <c r="D15">
        <v>4</v>
      </c>
      <c r="G15" s="4">
        <v>0</v>
      </c>
      <c r="H15">
        <f>G15*D15</f>
        <v>0</v>
      </c>
    </row>
    <row r="16" spans="1:8">
      <c r="A16" s="4"/>
      <c r="B16" s="4"/>
      <c r="G16" s="4"/>
    </row>
    <row r="17" spans="1:8">
      <c r="A17" t="s">
        <v>211</v>
      </c>
      <c r="H17">
        <f>SUM(H6:H15)</f>
        <v>0</v>
      </c>
    </row>
    <row r="18" spans="1:8">
      <c r="A18" s="4" t="s">
        <v>223</v>
      </c>
      <c r="H18">
        <f>H17*1.6</f>
        <v>0</v>
      </c>
    </row>
    <row r="19" spans="1:8">
      <c r="A19" s="4" t="s">
        <v>222</v>
      </c>
      <c r="G19">
        <v>0</v>
      </c>
      <c r="H19">
        <f>G19*F19</f>
        <v>0</v>
      </c>
    </row>
    <row r="20" spans="1:8">
      <c r="A20" s="4"/>
    </row>
    <row r="21" spans="1:8">
      <c r="A21" s="1" t="s">
        <v>205</v>
      </c>
      <c r="B21" s="16"/>
      <c r="C21" s="16"/>
      <c r="D21" s="16"/>
      <c r="E21" s="16"/>
      <c r="F21" s="16"/>
      <c r="G21" s="16"/>
      <c r="H21" s="1">
        <f>SUM(H18:H19)</f>
        <v>0</v>
      </c>
    </row>
    <row r="24" spans="1:8">
      <c r="B24" s="17"/>
    </row>
  </sheetData>
  <phoneticPr fontId="6" type="noConversion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Přehled</vt:lpstr>
      <vt:lpstr>expoziční skříň</vt:lpstr>
      <vt:lpstr>stoly-hlavní sál</vt:lpstr>
      <vt:lpstr>podium</vt:lpstr>
      <vt:lpstr>regal knihovna</vt:lpstr>
      <vt:lpstr>stůl studovna</vt:lpstr>
      <vt:lpstr>skříň projekce</vt:lpstr>
      <vt:lpstr>lavice u dveri</vt:lpstr>
      <vt:lpstr>lavice u oken</vt:lpstr>
      <vt:lpstr>bima</vt:lpstr>
      <vt:lpstr>info stůl</vt:lpstr>
      <vt:lpstr>oltář-skříň</vt:lpstr>
      <vt:lpstr>výstavní system</vt:lpstr>
      <vt:lpstr>zazemi stul</vt:lpstr>
      <vt:lpstr>zazemí regal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Vladimír</cp:lastModifiedBy>
  <cp:lastPrinted>2013-03-20T13:43:52Z</cp:lastPrinted>
  <dcterms:created xsi:type="dcterms:W3CDTF">2013-01-08T19:21:15Z</dcterms:created>
  <dcterms:modified xsi:type="dcterms:W3CDTF">2013-04-04T07:00:40Z</dcterms:modified>
</cp:coreProperties>
</file>